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ublic\Documents\work\Publications\Performance Excellence\SPC\SPC7 - Variables Control Charts\"/>
    </mc:Choice>
  </mc:AlternateContent>
  <bookViews>
    <workbookView xWindow="-1785" yWindow="165" windowWidth="9720" windowHeight="6345" tabRatio="425"/>
  </bookViews>
  <sheets>
    <sheet name="Xbar_R" sheetId="1" r:id="rId1"/>
    <sheet name="DecPlaces" sheetId="6" state="hidden" r:id="rId2"/>
    <sheet name="Capability" sheetId="2" r:id="rId3"/>
    <sheet name="Control Tests" sheetId="4" r:id="rId4"/>
    <sheet name="Histogram" sheetId="5" r:id="rId5"/>
    <sheet name="Formulas" sheetId="3" r:id="rId6"/>
  </sheets>
  <definedNames>
    <definedName name="_xlnm.Print_Area" localSheetId="0">Xbar_R!$A$1:$AB$57</definedName>
  </definedNames>
  <calcPr calcId="152511"/>
</workbook>
</file>

<file path=xl/calcChain.xml><?xml version="1.0" encoding="utf-8"?>
<calcChain xmlns="http://schemas.openxmlformats.org/spreadsheetml/2006/main">
  <c r="AC13" i="1" l="1" a="1"/>
  <c r="B3" i="3"/>
  <c r="A8" i="2" s="1"/>
  <c r="B4" i="3"/>
  <c r="D3" i="3" s="1"/>
  <c r="C14" i="3"/>
  <c r="C14" i="1"/>
  <c r="D14" i="1"/>
  <c r="D21" i="5" s="1"/>
  <c r="D11" i="1"/>
  <c r="E14" i="1"/>
  <c r="E32" i="1" s="1"/>
  <c r="F14" i="1"/>
  <c r="F12" i="1" s="1"/>
  <c r="G14" i="1"/>
  <c r="G11" i="1" s="1"/>
  <c r="H14" i="1"/>
  <c r="H23" i="5" s="1"/>
  <c r="I14" i="1"/>
  <c r="I22" i="5"/>
  <c r="J14" i="1"/>
  <c r="J11" i="1" s="1"/>
  <c r="J20" i="5"/>
  <c r="K14" i="1"/>
  <c r="K11" i="1"/>
  <c r="L14" i="1"/>
  <c r="L32" i="1" s="1"/>
  <c r="M14" i="1"/>
  <c r="M11" i="1" s="1"/>
  <c r="N14" i="1"/>
  <c r="N21" i="5" s="1"/>
  <c r="O14" i="1"/>
  <c r="O22" i="5" s="1"/>
  <c r="P14" i="1"/>
  <c r="P23" i="5" s="1"/>
  <c r="Q14" i="1"/>
  <c r="Q11" i="1" s="1"/>
  <c r="R14" i="1"/>
  <c r="R24" i="5" s="1"/>
  <c r="S14" i="1"/>
  <c r="S11" i="1" s="1"/>
  <c r="T14" i="1"/>
  <c r="T11" i="1" s="1"/>
  <c r="U14" i="1"/>
  <c r="U11" i="1" s="1"/>
  <c r="V14" i="1"/>
  <c r="W14" i="1"/>
  <c r="W11" i="1" s="1"/>
  <c r="X14" i="1"/>
  <c r="X22" i="5" s="1"/>
  <c r="Y14" i="1"/>
  <c r="Y11" i="1" s="1"/>
  <c r="Z14" i="1"/>
  <c r="Z20" i="5"/>
  <c r="AA14" i="1"/>
  <c r="AA24" i="5" s="1"/>
  <c r="AA11" i="1"/>
  <c r="C11" i="1"/>
  <c r="I11" i="1"/>
  <c r="N11" i="1"/>
  <c r="R11" i="1"/>
  <c r="V11" i="1"/>
  <c r="X11" i="1"/>
  <c r="Z11" i="1"/>
  <c r="C12" i="1"/>
  <c r="C31" i="1"/>
  <c r="D12" i="1"/>
  <c r="D32" i="1" s="1"/>
  <c r="E12" i="1"/>
  <c r="E31" i="1" s="1"/>
  <c r="I12" i="1"/>
  <c r="I31" i="1" s="1"/>
  <c r="J12" i="1"/>
  <c r="K12" i="1"/>
  <c r="K32" i="1"/>
  <c r="L12" i="1"/>
  <c r="N12" i="1"/>
  <c r="N32" i="1"/>
  <c r="O12" i="1"/>
  <c r="R12" i="1"/>
  <c r="R32" i="1" s="1"/>
  <c r="S12" i="1"/>
  <c r="T12" i="1"/>
  <c r="T31" i="1" s="1"/>
  <c r="U12" i="1"/>
  <c r="U32" i="1" s="1"/>
  <c r="V12" i="1"/>
  <c r="V32" i="1" s="1"/>
  <c r="W12" i="1"/>
  <c r="W31" i="1" s="1"/>
  <c r="X12" i="1"/>
  <c r="X31" i="1" s="1"/>
  <c r="Y12" i="1"/>
  <c r="Y31" i="1" s="1"/>
  <c r="Z12" i="1"/>
  <c r="Z32" i="1" s="1"/>
  <c r="B13" i="3"/>
  <c r="D31" i="1"/>
  <c r="K31" i="1"/>
  <c r="S31" i="1"/>
  <c r="A13" i="6"/>
  <c r="D17" i="6" s="1"/>
  <c r="E17" i="6" s="1"/>
  <c r="D13" i="6"/>
  <c r="E13" i="6" s="1"/>
  <c r="A2" i="6"/>
  <c r="D2" i="6" s="1"/>
  <c r="E2" i="6" s="1"/>
  <c r="C20" i="5"/>
  <c r="D20" i="5"/>
  <c r="F20" i="5"/>
  <c r="I20" i="5"/>
  <c r="K20" i="5"/>
  <c r="N20" i="5"/>
  <c r="O20" i="5"/>
  <c r="P20" i="5"/>
  <c r="R20" i="5"/>
  <c r="S20" i="5"/>
  <c r="T20" i="5"/>
  <c r="V20" i="5"/>
  <c r="W20" i="5"/>
  <c r="X20" i="5"/>
  <c r="C21" i="5"/>
  <c r="F21" i="5"/>
  <c r="I21" i="5"/>
  <c r="K21" i="5"/>
  <c r="O21" i="5"/>
  <c r="P21" i="5"/>
  <c r="Q21" i="5"/>
  <c r="R21" i="5"/>
  <c r="S21" i="5"/>
  <c r="T21" i="5"/>
  <c r="U21" i="5"/>
  <c r="V21" i="5"/>
  <c r="W21" i="5"/>
  <c r="X21" i="5"/>
  <c r="Y21" i="5"/>
  <c r="C22" i="5"/>
  <c r="D22" i="5"/>
  <c r="G22" i="5"/>
  <c r="K22" i="5"/>
  <c r="L22" i="5"/>
  <c r="M22" i="5"/>
  <c r="N22" i="5"/>
  <c r="R22" i="5"/>
  <c r="S22" i="5"/>
  <c r="V22" i="5"/>
  <c r="W22" i="5"/>
  <c r="C23" i="5"/>
  <c r="E23" i="5"/>
  <c r="I23" i="5"/>
  <c r="K23" i="5"/>
  <c r="L23" i="5"/>
  <c r="R23" i="5"/>
  <c r="S23" i="5"/>
  <c r="T23" i="5"/>
  <c r="V23" i="5"/>
  <c r="W23" i="5"/>
  <c r="X23" i="5"/>
  <c r="C24" i="5"/>
  <c r="D24" i="5"/>
  <c r="E24" i="5"/>
  <c r="F24" i="5"/>
  <c r="G24" i="5"/>
  <c r="I24" i="5"/>
  <c r="K24" i="5"/>
  <c r="L24" i="5"/>
  <c r="M24" i="5"/>
  <c r="N24" i="5"/>
  <c r="O24" i="5"/>
  <c r="S24" i="5"/>
  <c r="V24" i="5"/>
  <c r="W24" i="5"/>
  <c r="AB18" i="1"/>
  <c r="AB16" i="1"/>
  <c r="AB20" i="1"/>
  <c r="AC13" i="1"/>
  <c r="A9" i="2" s="1"/>
  <c r="Y32" i="1"/>
  <c r="S32" i="1"/>
  <c r="I32" i="1"/>
  <c r="C32" i="1"/>
  <c r="Z24" i="5"/>
  <c r="Z23" i="5"/>
  <c r="Z22" i="5"/>
  <c r="Z21" i="5"/>
  <c r="Z31" i="1"/>
  <c r="V31" i="1"/>
  <c r="T32" i="1"/>
  <c r="O32" i="1"/>
  <c r="N31" i="1"/>
  <c r="N23" i="5"/>
  <c r="D7" i="6"/>
  <c r="E7" i="6" s="1"/>
  <c r="J23" i="5"/>
  <c r="J22" i="5"/>
  <c r="F23" i="5"/>
  <c r="F22" i="5"/>
  <c r="D23" i="5"/>
  <c r="D6" i="6"/>
  <c r="E6" i="6" s="1"/>
  <c r="D19" i="6"/>
  <c r="E19" i="6" s="1"/>
  <c r="D18" i="6"/>
  <c r="E18" i="6" s="1"/>
  <c r="D16" i="6"/>
  <c r="E16" i="6" s="1"/>
  <c r="D15" i="6"/>
  <c r="E15" i="6" s="1"/>
  <c r="D14" i="6"/>
  <c r="E14" i="6" s="1"/>
  <c r="O11" i="1"/>
  <c r="D5" i="6"/>
  <c r="E5" i="6" s="1"/>
  <c r="AA22" i="5"/>
  <c r="AA21" i="5"/>
  <c r="P24" i="5"/>
  <c r="M21" i="5"/>
  <c r="F11" i="1"/>
  <c r="H11" i="1" l="1"/>
  <c r="H24" i="5"/>
  <c r="M23" i="5"/>
  <c r="R31" i="1"/>
  <c r="V22" i="4" s="1" a="1"/>
  <c r="V22" i="4" s="1"/>
  <c r="D8" i="6"/>
  <c r="E8" i="6" s="1"/>
  <c r="Q24" i="5"/>
  <c r="E22" i="5"/>
  <c r="E21" i="5"/>
  <c r="E20" i="5"/>
  <c r="Q31" i="1"/>
  <c r="M31" i="1"/>
  <c r="Q22" i="4" s="1" a="1"/>
  <c r="Q22" i="4" s="1"/>
  <c r="M12" i="1"/>
  <c r="M32" i="1" s="1"/>
  <c r="P12" i="1"/>
  <c r="P31" i="1" s="1"/>
  <c r="AA23" i="5"/>
  <c r="B2" i="3"/>
  <c r="AC14" i="1"/>
  <c r="L31" i="1"/>
  <c r="O22" i="4" s="1" a="1"/>
  <c r="O22" i="4" s="1"/>
  <c r="Y24" i="5"/>
  <c r="U24" i="5"/>
  <c r="Y22" i="5"/>
  <c r="U22" i="5"/>
  <c r="Q22" i="5"/>
  <c r="H21" i="5"/>
  <c r="H20" i="5"/>
  <c r="J31" i="1"/>
  <c r="AA12" i="1"/>
  <c r="AA32" i="1" s="1"/>
  <c r="Q12" i="1"/>
  <c r="Q32" i="1" s="1"/>
  <c r="H12" i="1"/>
  <c r="H32" i="1" s="1"/>
  <c r="L11" i="1"/>
  <c r="E11" i="1"/>
  <c r="P32" i="1"/>
  <c r="M20" i="5"/>
  <c r="P22" i="5"/>
  <c r="AA20" i="5"/>
  <c r="D4" i="6"/>
  <c r="E4" i="6" s="1"/>
  <c r="J21" i="5"/>
  <c r="D3" i="6"/>
  <c r="E3" i="6" s="1"/>
  <c r="E10" i="6" s="1"/>
  <c r="G2" i="6" s="1"/>
  <c r="O23" i="5"/>
  <c r="X32" i="1"/>
  <c r="W32" i="1"/>
  <c r="X24" i="5"/>
  <c r="T24" i="5"/>
  <c r="J24" i="5"/>
  <c r="Y23" i="5"/>
  <c r="U23" i="5"/>
  <c r="Q23" i="5"/>
  <c r="G23" i="5"/>
  <c r="T22" i="5"/>
  <c r="H22" i="5"/>
  <c r="L21" i="5"/>
  <c r="G21" i="5"/>
  <c r="Y20" i="5"/>
  <c r="U20" i="5"/>
  <c r="Q20" i="5"/>
  <c r="L20" i="5"/>
  <c r="G20" i="5"/>
  <c r="U31" i="1"/>
  <c r="Y22" i="4" s="1" a="1"/>
  <c r="Y22" i="4" s="1"/>
  <c r="O31" i="1"/>
  <c r="J32" i="1"/>
  <c r="G12" i="1"/>
  <c r="Z22" i="4" a="1"/>
  <c r="Z22" i="4" s="1"/>
  <c r="U22" i="4" a="1"/>
  <c r="U22" i="4" s="1"/>
  <c r="F31" i="1"/>
  <c r="F32" i="1"/>
  <c r="P11" i="1"/>
  <c r="D4" i="3"/>
  <c r="E21" i="6"/>
  <c r="J4" i="5" l="1"/>
  <c r="AB11" i="1"/>
  <c r="F2" i="1" s="1"/>
  <c r="H31" i="1"/>
  <c r="J6" i="5"/>
  <c r="J7" i="5" s="1"/>
  <c r="AB12" i="1"/>
  <c r="C15" i="3" s="1"/>
  <c r="F15" i="3" s="1"/>
  <c r="X22" i="4" a="1"/>
  <c r="X22" i="4" s="1"/>
  <c r="G31" i="1"/>
  <c r="K22" i="4" s="1" a="1"/>
  <c r="K22" i="4" s="1"/>
  <c r="G32" i="1"/>
  <c r="N22" i="4" a="1"/>
  <c r="N22" i="4" s="1"/>
  <c r="AA31" i="1"/>
  <c r="AA22" i="4" s="1" a="1"/>
  <c r="AA22" i="4" s="1"/>
  <c r="P22" i="4" a="1"/>
  <c r="P22" i="4" s="1"/>
  <c r="L22" i="4" a="1"/>
  <c r="L22" i="4" s="1"/>
  <c r="T22" i="4" a="1"/>
  <c r="T22" i="4" s="1"/>
  <c r="W22" i="4" a="1"/>
  <c r="W22" i="4" s="1"/>
  <c r="S22" i="4" a="1"/>
  <c r="S22" i="4" s="1"/>
  <c r="M22" i="4" a="1"/>
  <c r="M22" i="4" s="1"/>
  <c r="R22" i="4" a="1"/>
  <c r="R22" i="4" s="1"/>
  <c r="G22" i="4" a="1"/>
  <c r="G22" i="4" s="1"/>
  <c r="J1" i="1"/>
  <c r="J2" i="5"/>
  <c r="J3" i="5" s="1"/>
  <c r="A7" i="2" l="1"/>
  <c r="F3" i="1"/>
  <c r="D18" i="1" s="1"/>
  <c r="H22" i="4" a="1"/>
  <c r="H22" i="4" s="1"/>
  <c r="J22" i="4" a="1"/>
  <c r="J22" i="4" s="1"/>
  <c r="I22" i="4" a="1"/>
  <c r="I22" i="4" s="1"/>
  <c r="K109" i="2"/>
  <c r="K293" i="2"/>
  <c r="K241" i="2"/>
  <c r="K300" i="2"/>
  <c r="K226" i="2"/>
  <c r="K70" i="2"/>
  <c r="K135" i="2"/>
  <c r="K156" i="2"/>
  <c r="K89" i="2"/>
  <c r="K32" i="2"/>
  <c r="K289" i="2"/>
  <c r="K203" i="2"/>
  <c r="K224" i="2"/>
  <c r="K123" i="2"/>
  <c r="K66" i="2"/>
  <c r="K21" i="2"/>
  <c r="K276" i="2"/>
  <c r="K185" i="2"/>
  <c r="K210" i="2"/>
  <c r="K296" i="2"/>
  <c r="K228" i="2"/>
  <c r="K305" i="2"/>
  <c r="K62" i="2"/>
  <c r="K150" i="2"/>
  <c r="K266" i="2"/>
  <c r="K82" i="2"/>
  <c r="K90" i="2"/>
  <c r="K166" i="2"/>
  <c r="K173" i="2"/>
  <c r="K270" i="2"/>
  <c r="K15" i="2"/>
  <c r="K127" i="2"/>
  <c r="K316" i="2"/>
  <c r="K152" i="2"/>
  <c r="K187" i="2"/>
  <c r="K204" i="2"/>
  <c r="K56" i="2"/>
  <c r="K218" i="2"/>
  <c r="K49" i="2"/>
  <c r="K63" i="2"/>
  <c r="K4" i="2"/>
  <c r="K260" i="2"/>
  <c r="K153" i="2"/>
  <c r="K178" i="2"/>
  <c r="K96" i="2"/>
  <c r="K39" i="2"/>
  <c r="K294" i="2"/>
  <c r="K221" i="2"/>
  <c r="K246" i="2"/>
  <c r="K136" i="2"/>
  <c r="K85" i="2"/>
  <c r="K28" i="2"/>
  <c r="K285" i="2"/>
  <c r="K48" i="2"/>
  <c r="K238" i="2"/>
  <c r="K310" i="2"/>
  <c r="K256" i="2"/>
  <c r="K11" i="2"/>
  <c r="K165" i="2"/>
  <c r="K283" i="2"/>
  <c r="K26" i="2"/>
  <c r="K83" i="2"/>
  <c r="K176" i="2"/>
  <c r="K155" i="2"/>
  <c r="K265" i="2"/>
  <c r="K65" i="2"/>
  <c r="K250" i="2"/>
  <c r="K198" i="2"/>
  <c r="K281" i="2"/>
  <c r="K72" i="2"/>
  <c r="K130" i="2"/>
  <c r="K236" i="2"/>
  <c r="K247" i="2"/>
  <c r="K299" i="2"/>
  <c r="K290" i="2"/>
  <c r="K295" i="2"/>
  <c r="K95" i="2"/>
  <c r="K159" i="2"/>
  <c r="B19" i="3"/>
  <c r="C19" i="3" s="1"/>
  <c r="K263" i="2"/>
  <c r="K126" i="2"/>
  <c r="K154" i="2"/>
  <c r="K177" i="2"/>
  <c r="K99" i="2"/>
  <c r="K186" i="2"/>
  <c r="K33" i="2"/>
  <c r="K209" i="2"/>
  <c r="K118" i="2"/>
  <c r="K306" i="2"/>
  <c r="K114" i="2"/>
  <c r="K189" i="2"/>
  <c r="K23" i="2"/>
  <c r="K146" i="2"/>
  <c r="K231" i="2"/>
  <c r="K34" i="2"/>
  <c r="K160" i="2"/>
  <c r="K257" i="2"/>
  <c r="K57" i="2"/>
  <c r="K202" i="2"/>
  <c r="K93" i="2"/>
  <c r="K227" i="2"/>
  <c r="K143" i="2"/>
  <c r="K7" i="2"/>
  <c r="K213" i="2"/>
  <c r="K16" i="2"/>
  <c r="K268" i="2"/>
  <c r="K301" i="2"/>
  <c r="K58" i="2"/>
  <c r="K81" i="2"/>
  <c r="K151" i="2"/>
  <c r="K5" i="2"/>
  <c r="K67" i="2"/>
  <c r="K272" i="2"/>
  <c r="K35" i="2"/>
  <c r="K29" i="2"/>
  <c r="K169" i="2"/>
  <c r="K104" i="2"/>
  <c r="K302" i="2"/>
  <c r="K230" i="2"/>
  <c r="K229" i="2"/>
  <c r="K43" i="2"/>
  <c r="K174" i="2"/>
  <c r="K264" i="2"/>
  <c r="K60" i="2"/>
  <c r="K200" i="2"/>
  <c r="K271" i="2"/>
  <c r="K71" i="2"/>
  <c r="K242" i="2"/>
  <c r="K292" i="2"/>
  <c r="K13" i="2"/>
  <c r="K277" i="2"/>
  <c r="K232" i="2"/>
  <c r="K308" i="2"/>
  <c r="K121" i="2"/>
  <c r="K40" i="2"/>
  <c r="K197" i="2"/>
  <c r="K97" i="2"/>
  <c r="K73" i="2"/>
  <c r="K251" i="2"/>
  <c r="K286" i="2"/>
  <c r="K20" i="2"/>
  <c r="K111" i="2"/>
  <c r="K248" i="2"/>
  <c r="K30" i="2"/>
  <c r="K249" i="2"/>
  <c r="K182" i="2"/>
  <c r="K64" i="2"/>
  <c r="K144" i="2"/>
  <c r="K172" i="2"/>
  <c r="K307" i="2"/>
  <c r="K124" i="2"/>
  <c r="K239" i="2"/>
  <c r="K240" i="2"/>
  <c r="K78" i="2"/>
  <c r="K282" i="2"/>
  <c r="K183" i="2"/>
  <c r="K315" i="2"/>
  <c r="B18" i="3"/>
  <c r="C18" i="3" s="1"/>
  <c r="K36" i="2"/>
  <c r="K223" i="2"/>
  <c r="K45" i="2"/>
  <c r="K201" i="2"/>
  <c r="K120" i="2"/>
  <c r="K69" i="2"/>
  <c r="K12" i="2"/>
  <c r="K269" i="2"/>
  <c r="K175" i="2"/>
  <c r="K196" i="2"/>
  <c r="K103" i="2"/>
  <c r="K46" i="2"/>
  <c r="K303" i="2"/>
  <c r="K243" i="2"/>
  <c r="K133" i="2"/>
  <c r="K170" i="2"/>
  <c r="K92" i="2"/>
  <c r="K41" i="2"/>
  <c r="K207" i="2"/>
  <c r="K112" i="2"/>
  <c r="K225" i="2"/>
  <c r="K55" i="2"/>
  <c r="K75" i="2"/>
  <c r="K147" i="2"/>
  <c r="K18" i="2"/>
  <c r="K181" i="2"/>
  <c r="K274" i="2"/>
  <c r="K19" i="2"/>
  <c r="K86" i="2"/>
  <c r="K158" i="2"/>
  <c r="K148" i="2"/>
  <c r="K233" i="2"/>
  <c r="K61" i="2"/>
  <c r="K134" i="2"/>
  <c r="K215" i="2"/>
  <c r="K113" i="2"/>
  <c r="K254" i="2"/>
  <c r="K100" i="2"/>
  <c r="K304" i="2"/>
  <c r="K138" i="2"/>
  <c r="K76" i="2"/>
  <c r="K25" i="2"/>
  <c r="K280" i="2"/>
  <c r="K193" i="2"/>
  <c r="K206" i="2"/>
  <c r="K110" i="2"/>
  <c r="K59" i="2"/>
  <c r="K314" i="2"/>
  <c r="K259" i="2"/>
  <c r="K167" i="2"/>
  <c r="K188" i="2"/>
  <c r="K105" i="2"/>
  <c r="K119" i="2"/>
  <c r="K235" i="2"/>
  <c r="K128" i="2"/>
  <c r="K253" i="2"/>
  <c r="K168" i="2"/>
  <c r="K275" i="2"/>
  <c r="K184" i="2"/>
  <c r="K163" i="2"/>
  <c r="K279" i="2"/>
  <c r="K22" i="2"/>
  <c r="K79" i="2"/>
  <c r="K8" i="2"/>
  <c r="K116" i="2"/>
  <c r="K216" i="2"/>
  <c r="K208" i="2"/>
  <c r="K145" i="2"/>
  <c r="K255" i="2"/>
  <c r="K309" i="2"/>
  <c r="K52" i="2"/>
  <c r="K125" i="2"/>
  <c r="K149" i="2"/>
  <c r="K74" i="2"/>
  <c r="K38" i="2"/>
  <c r="K180" i="2"/>
  <c r="K261" i="2"/>
  <c r="K77" i="2"/>
  <c r="K141" i="2"/>
  <c r="K131" i="2"/>
  <c r="K17" i="2"/>
  <c r="K102" i="2"/>
  <c r="K267" i="2"/>
  <c r="K84" i="2"/>
  <c r="K288" i="2"/>
  <c r="K222" i="2"/>
  <c r="K51" i="2"/>
  <c r="K245" i="2"/>
  <c r="K214" i="2"/>
  <c r="K278" i="2"/>
  <c r="K80" i="2"/>
  <c r="K252" i="2"/>
  <c r="K291" i="2"/>
  <c r="K91" i="2"/>
  <c r="K139" i="2"/>
  <c r="K312" i="2"/>
  <c r="K108" i="2"/>
  <c r="K88" i="2"/>
  <c r="K212" i="2"/>
  <c r="K287" i="2"/>
  <c r="K98" i="2"/>
  <c r="K199" i="2"/>
  <c r="K115" i="2"/>
  <c r="K142" i="2"/>
  <c r="K50" i="2"/>
  <c r="K129" i="2"/>
  <c r="K24" i="2"/>
  <c r="K140" i="2"/>
  <c r="K10" i="2"/>
  <c r="K244" i="2"/>
  <c r="K68" i="2"/>
  <c r="K190" i="2"/>
  <c r="K42" i="2"/>
  <c r="K284" i="2"/>
  <c r="K194" i="2"/>
  <c r="K47" i="2"/>
  <c r="K237" i="2"/>
  <c r="K122" i="2"/>
  <c r="K298" i="2"/>
  <c r="K94" i="2"/>
  <c r="K161" i="2"/>
  <c r="K9" i="2"/>
  <c r="K117" i="2"/>
  <c r="K179" i="2"/>
  <c r="K14" i="2"/>
  <c r="K132" i="2"/>
  <c r="K217" i="2"/>
  <c r="K37" i="2"/>
  <c r="K258" i="2"/>
  <c r="K54" i="2"/>
  <c r="K87" i="2"/>
  <c r="K157" i="2"/>
  <c r="K162" i="2"/>
  <c r="K107" i="2"/>
  <c r="K44" i="2"/>
  <c r="K234" i="2"/>
  <c r="K297" i="2"/>
  <c r="K137" i="2"/>
  <c r="K106" i="2"/>
  <c r="K191" i="2"/>
  <c r="K311" i="2"/>
  <c r="K211" i="2"/>
  <c r="K164" i="2"/>
  <c r="K53" i="2"/>
  <c r="K262" i="2"/>
  <c r="K220" i="2"/>
  <c r="K205" i="2"/>
  <c r="K219" i="2"/>
  <c r="K171" i="2"/>
  <c r="K27" i="2"/>
  <c r="K195" i="2"/>
  <c r="K273" i="2"/>
  <c r="K101" i="2"/>
  <c r="K192" i="2"/>
  <c r="K31" i="2"/>
  <c r="K313" i="2"/>
  <c r="I27" i="1"/>
  <c r="G18" i="1"/>
  <c r="X29" i="1"/>
  <c r="D30" i="1"/>
  <c r="S27" i="1"/>
  <c r="Z18" i="1"/>
  <c r="K27" i="1"/>
  <c r="H27" i="1"/>
  <c r="T26" i="1"/>
  <c r="K30" i="1"/>
  <c r="S19" i="1"/>
  <c r="R27" i="1"/>
  <c r="H22" i="1"/>
  <c r="W22" i="1"/>
  <c r="X22" i="1"/>
  <c r="U20" i="1"/>
  <c r="Z21" i="1"/>
  <c r="O20" i="1"/>
  <c r="T20" i="1"/>
  <c r="J20" i="1"/>
  <c r="AA21" i="1"/>
  <c r="F22" i="1"/>
  <c r="U22" i="1"/>
  <c r="V22" i="1"/>
  <c r="M21" i="1"/>
  <c r="D22" i="1"/>
  <c r="K22" i="1"/>
  <c r="AA22" i="1"/>
  <c r="AA23" i="1" s="1"/>
  <c r="L22" i="1"/>
  <c r="K20" i="1"/>
  <c r="F20" i="1"/>
  <c r="J21" i="1"/>
  <c r="X20" i="1"/>
  <c r="P21" i="1"/>
  <c r="C22" i="1"/>
  <c r="Q22" i="1"/>
  <c r="Z22" i="1"/>
  <c r="Z23" i="1" s="1"/>
  <c r="P20" i="1"/>
  <c r="L20" i="1"/>
  <c r="T21" i="1"/>
  <c r="Z20" i="1"/>
  <c r="N20" i="1"/>
  <c r="R21" i="1"/>
  <c r="I20" i="1"/>
  <c r="S21" i="1"/>
  <c r="E21" i="1"/>
  <c r="Q20" i="1"/>
  <c r="Y20" i="1"/>
  <c r="R20" i="1"/>
  <c r="M20" i="1"/>
  <c r="H21" i="1"/>
  <c r="H20" i="1"/>
  <c r="E19" i="1"/>
  <c r="H29" i="1"/>
  <c r="S29" i="1"/>
  <c r="G26" i="1"/>
  <c r="T17" i="1"/>
  <c r="H28" i="1"/>
  <c r="X17" i="1"/>
  <c r="J27" i="1"/>
  <c r="V17" i="1"/>
  <c r="F29" i="1"/>
  <c r="W19" i="1"/>
  <c r="H16" i="1"/>
  <c r="AA18" i="1"/>
  <c r="M28" i="1"/>
  <c r="E28" i="1"/>
  <c r="I22" i="1"/>
  <c r="O22" i="1"/>
  <c r="P22" i="1"/>
  <c r="Q21" i="1"/>
  <c r="G22" i="1"/>
  <c r="M22" i="1"/>
  <c r="N22" i="1"/>
  <c r="S20" i="1"/>
  <c r="V21" i="1"/>
  <c r="D21" i="1"/>
  <c r="E22" i="1"/>
  <c r="S22" i="1"/>
  <c r="T22" i="1"/>
  <c r="AA20" i="1"/>
  <c r="G20" i="1"/>
  <c r="K21" i="1"/>
  <c r="J22" i="1"/>
  <c r="Y22" i="1"/>
  <c r="R22" i="1"/>
  <c r="F21" i="1"/>
  <c r="O21" i="1"/>
  <c r="I21" i="1"/>
  <c r="V20" i="1"/>
  <c r="X21" i="1"/>
  <c r="E20" i="1"/>
  <c r="W20" i="1"/>
  <c r="N21" i="1"/>
  <c r="W21" i="1"/>
  <c r="D20" i="1"/>
  <c r="Y21" i="1"/>
  <c r="C21" i="1"/>
  <c r="C20" i="1"/>
  <c r="U21" i="1"/>
  <c r="G21" i="1"/>
  <c r="L21" i="1"/>
  <c r="K2" i="5"/>
  <c r="J5" i="5"/>
  <c r="J9" i="5" s="1"/>
  <c r="U25" i="1" l="1"/>
  <c r="C18" i="1"/>
  <c r="R25" i="1"/>
  <c r="R18" i="4" s="1"/>
  <c r="P25" i="1"/>
  <c r="P42" i="4" s="1"/>
  <c r="C30" i="1"/>
  <c r="J17" i="1"/>
  <c r="F28" i="1"/>
  <c r="U26" i="1"/>
  <c r="S28" i="1"/>
  <c r="Y26" i="1"/>
  <c r="L26" i="1"/>
  <c r="R17" i="1"/>
  <c r="D19" i="1"/>
  <c r="Y29" i="1"/>
  <c r="E16" i="1"/>
  <c r="E28" i="4" s="1"/>
  <c r="N17" i="1"/>
  <c r="S18" i="1"/>
  <c r="S34" i="4" s="1"/>
  <c r="M27" i="1"/>
  <c r="D16" i="1"/>
  <c r="D28" i="4" s="1"/>
  <c r="V26" i="1"/>
  <c r="E26" i="1"/>
  <c r="M26" i="1"/>
  <c r="T18" i="1"/>
  <c r="T35" i="4" s="1"/>
  <c r="Q26" i="1"/>
  <c r="J28" i="1"/>
  <c r="Y30" i="1"/>
  <c r="S30" i="1"/>
  <c r="F16" i="1"/>
  <c r="F30" i="4" s="1"/>
  <c r="P17" i="1"/>
  <c r="F30" i="1"/>
  <c r="L28" i="1"/>
  <c r="X30" i="1"/>
  <c r="L19" i="1"/>
  <c r="Z16" i="1"/>
  <c r="S16" i="1"/>
  <c r="S31" i="4" s="1"/>
  <c r="N27" i="1"/>
  <c r="L18" i="1"/>
  <c r="L35" i="4" s="1"/>
  <c r="E17" i="1"/>
  <c r="C29" i="1"/>
  <c r="G17" i="1"/>
  <c r="F18" i="1"/>
  <c r="F34" i="4" s="1"/>
  <c r="P26" i="1"/>
  <c r="Q25" i="1"/>
  <c r="G27" i="1"/>
  <c r="C19" i="1"/>
  <c r="D27" i="1"/>
  <c r="O19" i="1"/>
  <c r="G28" i="1"/>
  <c r="O18" i="1"/>
  <c r="O34" i="4" s="1"/>
  <c r="I19" i="1"/>
  <c r="Q27" i="1"/>
  <c r="Q46" i="4" s="1"/>
  <c r="Y17" i="1"/>
  <c r="W30" i="1"/>
  <c r="V16" i="1"/>
  <c r="W17" i="1"/>
  <c r="D28" i="1"/>
  <c r="V27" i="1"/>
  <c r="W27" i="1"/>
  <c r="E30" i="1"/>
  <c r="K19" i="1"/>
  <c r="L16" i="1"/>
  <c r="L28" i="4" s="1"/>
  <c r="AA28" i="1"/>
  <c r="C16" i="1"/>
  <c r="C31" i="4" s="1"/>
  <c r="Q17" i="1"/>
  <c r="Z28" i="1"/>
  <c r="X25" i="1"/>
  <c r="T25" i="1"/>
  <c r="C28" i="1"/>
  <c r="L25" i="1"/>
  <c r="L18" i="4" s="1"/>
  <c r="V30" i="1"/>
  <c r="D17" i="1"/>
  <c r="X19" i="1"/>
  <c r="T29" i="1"/>
  <c r="T46" i="4" s="1"/>
  <c r="V18" i="1"/>
  <c r="V33" i="4" s="1"/>
  <c r="I29" i="1"/>
  <c r="E29" i="1"/>
  <c r="T19" i="1"/>
  <c r="K25" i="1"/>
  <c r="U28" i="1"/>
  <c r="X27" i="1"/>
  <c r="X46" i="4" s="1"/>
  <c r="O27" i="1"/>
  <c r="O47" i="4" s="1"/>
  <c r="AA19" i="1"/>
  <c r="Y19" i="1"/>
  <c r="I26" i="1"/>
  <c r="K28" i="1"/>
  <c r="C17" i="1"/>
  <c r="V19" i="1"/>
  <c r="N30" i="1"/>
  <c r="O25" i="1"/>
  <c r="O18" i="4" s="1"/>
  <c r="N19" i="1"/>
  <c r="D25" i="1"/>
  <c r="AA25" i="1"/>
  <c r="I17" i="1"/>
  <c r="T28" i="1"/>
  <c r="R19" i="1"/>
  <c r="L30" i="1"/>
  <c r="Z17" i="1"/>
  <c r="T30" i="1"/>
  <c r="Y25" i="1"/>
  <c r="AA26" i="1"/>
  <c r="L17" i="1"/>
  <c r="P29" i="1"/>
  <c r="Z30" i="1"/>
  <c r="N26" i="1"/>
  <c r="J16" i="1"/>
  <c r="J30" i="4" s="1"/>
  <c r="M18" i="1"/>
  <c r="M34" i="4" s="1"/>
  <c r="E18" i="1"/>
  <c r="E35" i="4" s="1"/>
  <c r="W25" i="1"/>
  <c r="W18" i="4" s="1"/>
  <c r="W28" i="1"/>
  <c r="Y27" i="1"/>
  <c r="Y47" i="4" s="1"/>
  <c r="AA16" i="1"/>
  <c r="G29" i="1"/>
  <c r="G48" i="4" s="1"/>
  <c r="N16" i="1"/>
  <c r="N29" i="4" s="1"/>
  <c r="M29" i="1"/>
  <c r="R18" i="1"/>
  <c r="R35" i="4" s="1"/>
  <c r="C26" i="1"/>
  <c r="H30" i="1"/>
  <c r="I16" i="1"/>
  <c r="I31" i="4" s="1"/>
  <c r="M30" i="1"/>
  <c r="L27" i="1"/>
  <c r="D26" i="1"/>
  <c r="U27" i="1"/>
  <c r="E27" i="1"/>
  <c r="P18" i="1"/>
  <c r="P35" i="4" s="1"/>
  <c r="J19" i="1"/>
  <c r="R28" i="1"/>
  <c r="Q16" i="1"/>
  <c r="Q30" i="4" s="1"/>
  <c r="M25" i="1"/>
  <c r="M18" i="4" s="1"/>
  <c r="U18" i="1"/>
  <c r="U33" i="4" s="1"/>
  <c r="Y16" i="1"/>
  <c r="Y29" i="4" s="1"/>
  <c r="J18" i="1"/>
  <c r="J36" i="4" s="1"/>
  <c r="X18" i="1"/>
  <c r="X35" i="4" s="1"/>
  <c r="Z26" i="1"/>
  <c r="N25" i="1"/>
  <c r="T16" i="1"/>
  <c r="T30" i="4" s="1"/>
  <c r="Z25" i="1"/>
  <c r="O28" i="1"/>
  <c r="U29" i="1"/>
  <c r="U48" i="4" s="1"/>
  <c r="D29" i="1"/>
  <c r="D48" i="4" s="1"/>
  <c r="N29" i="1"/>
  <c r="N43" i="4" s="1"/>
  <c r="M16" i="1"/>
  <c r="M28" i="4" s="1"/>
  <c r="P19" i="1"/>
  <c r="J25" i="1"/>
  <c r="J18" i="4" s="1"/>
  <c r="I18" i="1"/>
  <c r="I33" i="4" s="1"/>
  <c r="K17" i="1"/>
  <c r="Z19" i="1"/>
  <c r="I25" i="1"/>
  <c r="I43" i="4" s="1"/>
  <c r="U17" i="1"/>
  <c r="S17" i="1"/>
  <c r="H25" i="1"/>
  <c r="H41" i="4" s="1"/>
  <c r="Q30" i="1"/>
  <c r="K16" i="1"/>
  <c r="K30" i="4" s="1"/>
  <c r="Y28" i="1"/>
  <c r="R30" i="1"/>
  <c r="Y18" i="1"/>
  <c r="Y33" i="4" s="1"/>
  <c r="R29" i="1"/>
  <c r="R41" i="4" s="1"/>
  <c r="W18" i="1"/>
  <c r="W33" i="4" s="1"/>
  <c r="S25" i="1"/>
  <c r="S41" i="4" s="1"/>
  <c r="K26" i="1"/>
  <c r="X26" i="1"/>
  <c r="N18" i="1"/>
  <c r="N35" i="4" s="1"/>
  <c r="P28" i="1"/>
  <c r="J29" i="1"/>
  <c r="J48" i="4" s="1"/>
  <c r="G25" i="1"/>
  <c r="G42" i="4" s="1"/>
  <c r="X28" i="1"/>
  <c r="I30" i="1"/>
  <c r="W26" i="1"/>
  <c r="F26" i="1"/>
  <c r="AA29" i="1"/>
  <c r="F17" i="1"/>
  <c r="T27" i="1"/>
  <c r="W29" i="1"/>
  <c r="W43" i="4" s="1"/>
  <c r="V25" i="1"/>
  <c r="E25" i="1"/>
  <c r="Q18" i="1"/>
  <c r="Q36" i="4" s="1"/>
  <c r="H17" i="1"/>
  <c r="M19" i="1"/>
  <c r="O16" i="1"/>
  <c r="O28" i="4" s="1"/>
  <c r="S26" i="1"/>
  <c r="K18" i="1"/>
  <c r="K35" i="4" s="1"/>
  <c r="J30" i="1"/>
  <c r="F27" i="1"/>
  <c r="U19" i="1"/>
  <c r="F19" i="1"/>
  <c r="Z27" i="1"/>
  <c r="Z18" i="4" s="1"/>
  <c r="V29" i="1"/>
  <c r="J26" i="1"/>
  <c r="U30" i="1"/>
  <c r="R26" i="1"/>
  <c r="C27" i="1"/>
  <c r="AA27" i="1"/>
  <c r="AA17" i="1"/>
  <c r="H26" i="1"/>
  <c r="Q29" i="1"/>
  <c r="K29" i="1"/>
  <c r="K46" i="4" s="1"/>
  <c r="H18" i="1"/>
  <c r="H33" i="4" s="1"/>
  <c r="Z29" i="1"/>
  <c r="G30" i="1"/>
  <c r="N28" i="1"/>
  <c r="L29" i="1"/>
  <c r="L47" i="4" s="1"/>
  <c r="X16" i="1"/>
  <c r="P30" i="1"/>
  <c r="U16" i="1"/>
  <c r="U30" i="4" s="1"/>
  <c r="O30" i="1"/>
  <c r="V28" i="1"/>
  <c r="G19" i="1"/>
  <c r="G16" i="1"/>
  <c r="G31" i="4" s="1"/>
  <c r="O17" i="1"/>
  <c r="Q19" i="1"/>
  <c r="O29" i="1"/>
  <c r="M17" i="1"/>
  <c r="O26" i="1"/>
  <c r="Q28" i="1"/>
  <c r="R16" i="1"/>
  <c r="W16" i="1"/>
  <c r="W31" i="4" s="1"/>
  <c r="AA30" i="1"/>
  <c r="H19" i="1"/>
  <c r="P27" i="1"/>
  <c r="P47" i="4" s="1"/>
  <c r="F25" i="1"/>
  <c r="F43" i="4" s="1"/>
  <c r="P16" i="1"/>
  <c r="P28" i="4" s="1"/>
  <c r="I28" i="1"/>
  <c r="C25" i="1"/>
  <c r="C18" i="4" s="1"/>
  <c r="AB22" i="4"/>
  <c r="P313" i="2"/>
  <c r="O313" i="2"/>
  <c r="L313" i="2"/>
  <c r="P192" i="2"/>
  <c r="O192" i="2"/>
  <c r="L192" i="2"/>
  <c r="N192" i="2"/>
  <c r="L273" i="2"/>
  <c r="O273" i="2"/>
  <c r="P273" i="2"/>
  <c r="L27" i="2"/>
  <c r="P27" i="2"/>
  <c r="N27" i="2"/>
  <c r="O219" i="2"/>
  <c r="L219" i="2"/>
  <c r="P219" i="2"/>
  <c r="N219" i="2"/>
  <c r="P220" i="2"/>
  <c r="L220" i="2"/>
  <c r="O220" i="2"/>
  <c r="N220" i="2"/>
  <c r="L53" i="2"/>
  <c r="P53" i="2"/>
  <c r="O53" i="2"/>
  <c r="N53" i="2"/>
  <c r="L211" i="2"/>
  <c r="O211" i="2"/>
  <c r="P211" i="2"/>
  <c r="N211" i="2"/>
  <c r="P191" i="2"/>
  <c r="O191" i="2"/>
  <c r="L191" i="2"/>
  <c r="N191" i="2"/>
  <c r="O137" i="2"/>
  <c r="N137" i="2"/>
  <c r="P137" i="2"/>
  <c r="L137" i="2"/>
  <c r="P234" i="2"/>
  <c r="L234" i="2"/>
  <c r="O234" i="2"/>
  <c r="L107" i="2"/>
  <c r="P107" i="2"/>
  <c r="O107" i="2"/>
  <c r="N107" i="2"/>
  <c r="L157" i="2"/>
  <c r="P157" i="2"/>
  <c r="O157" i="2"/>
  <c r="N157" i="2"/>
  <c r="L54" i="2"/>
  <c r="P54" i="2"/>
  <c r="O54" i="2"/>
  <c r="N54" i="2"/>
  <c r="L37" i="2"/>
  <c r="P37" i="2"/>
  <c r="N37" i="2"/>
  <c r="P132" i="2"/>
  <c r="O132" i="2"/>
  <c r="L132" i="2"/>
  <c r="N132" i="2"/>
  <c r="P179" i="2"/>
  <c r="O179" i="2"/>
  <c r="L179" i="2"/>
  <c r="N179" i="2"/>
  <c r="L9" i="2"/>
  <c r="P9" i="2"/>
  <c r="N9" i="2"/>
  <c r="O94" i="2"/>
  <c r="L94" i="2"/>
  <c r="P94" i="2"/>
  <c r="N94" i="2"/>
  <c r="O122" i="2"/>
  <c r="L122" i="2"/>
  <c r="P122" i="2"/>
  <c r="N122" i="2"/>
  <c r="L47" i="2"/>
  <c r="P47" i="2"/>
  <c r="N47" i="2"/>
  <c r="P284" i="2"/>
  <c r="L284" i="2"/>
  <c r="O284" i="2"/>
  <c r="L190" i="2"/>
  <c r="P190" i="2"/>
  <c r="O190" i="2"/>
  <c r="N190" i="2"/>
  <c r="P244" i="2"/>
  <c r="O244" i="2"/>
  <c r="L244" i="2"/>
  <c r="O140" i="2"/>
  <c r="P140" i="2"/>
  <c r="L140" i="2"/>
  <c r="N140" i="2"/>
  <c r="P129" i="2"/>
  <c r="L129" i="2"/>
  <c r="O129" i="2"/>
  <c r="N129" i="2"/>
  <c r="L142" i="2"/>
  <c r="P142" i="2"/>
  <c r="O142" i="2"/>
  <c r="N142" i="2"/>
  <c r="L199" i="2"/>
  <c r="P199" i="2"/>
  <c r="O199" i="2"/>
  <c r="N199" i="2"/>
  <c r="P287" i="2"/>
  <c r="O287" i="2"/>
  <c r="L287" i="2"/>
  <c r="N88" i="2"/>
  <c r="L88" i="2"/>
  <c r="P88" i="2"/>
  <c r="O88" i="2"/>
  <c r="L312" i="2"/>
  <c r="P312" i="2"/>
  <c r="O312" i="2"/>
  <c r="P91" i="2"/>
  <c r="L91" i="2"/>
  <c r="O91" i="2"/>
  <c r="N91" i="2"/>
  <c r="P252" i="2"/>
  <c r="L252" i="2"/>
  <c r="O252" i="2"/>
  <c r="O278" i="2"/>
  <c r="L278" i="2"/>
  <c r="P278" i="2"/>
  <c r="L245" i="2"/>
  <c r="O245" i="2"/>
  <c r="P245" i="2"/>
  <c r="O222" i="2"/>
  <c r="L222" i="2"/>
  <c r="P222" i="2"/>
  <c r="N222" i="2"/>
  <c r="P84" i="2"/>
  <c r="L84" i="2"/>
  <c r="N84" i="2"/>
  <c r="O84" i="2"/>
  <c r="O102" i="2"/>
  <c r="L102" i="2"/>
  <c r="N102" i="2"/>
  <c r="P102" i="2"/>
  <c r="L131" i="2"/>
  <c r="N131" i="2"/>
  <c r="O131" i="2"/>
  <c r="P131" i="2"/>
  <c r="P77" i="2"/>
  <c r="N77" i="2"/>
  <c r="L77" i="2"/>
  <c r="O77" i="2"/>
  <c r="N180" i="2"/>
  <c r="L180" i="2"/>
  <c r="P180" i="2"/>
  <c r="O180" i="2"/>
  <c r="P74" i="2"/>
  <c r="L74" i="2"/>
  <c r="N74" i="2"/>
  <c r="O74" i="2"/>
  <c r="P125" i="2"/>
  <c r="L125" i="2"/>
  <c r="N125" i="2"/>
  <c r="O125" i="2"/>
  <c r="L309" i="2"/>
  <c r="P309" i="2"/>
  <c r="O309" i="2"/>
  <c r="L145" i="2"/>
  <c r="P145" i="2"/>
  <c r="O145" i="2"/>
  <c r="N145" i="2"/>
  <c r="P216" i="2"/>
  <c r="O216" i="2"/>
  <c r="L216" i="2"/>
  <c r="N216" i="2"/>
  <c r="P8" i="2"/>
  <c r="N8" i="2"/>
  <c r="L8" i="2"/>
  <c r="P22" i="2"/>
  <c r="L22" i="2"/>
  <c r="N22" i="2"/>
  <c r="L163" i="2"/>
  <c r="P163" i="2"/>
  <c r="N163" i="2"/>
  <c r="O163" i="2"/>
  <c r="P275" i="2"/>
  <c r="O275" i="2"/>
  <c r="L275" i="2"/>
  <c r="L253" i="2"/>
  <c r="O253" i="2"/>
  <c r="P253" i="2"/>
  <c r="L235" i="2"/>
  <c r="P235" i="2"/>
  <c r="O235" i="2"/>
  <c r="L105" i="2"/>
  <c r="P105" i="2"/>
  <c r="O105" i="2"/>
  <c r="N105" i="2"/>
  <c r="L167" i="2"/>
  <c r="P167" i="2"/>
  <c r="O167" i="2"/>
  <c r="N167" i="2"/>
  <c r="P314" i="2"/>
  <c r="L314" i="2"/>
  <c r="O314" i="2"/>
  <c r="P110" i="2"/>
  <c r="O110" i="2"/>
  <c r="L110" i="2"/>
  <c r="N110" i="2"/>
  <c r="P193" i="2"/>
  <c r="L193" i="2"/>
  <c r="O193" i="2"/>
  <c r="N193" i="2"/>
  <c r="P25" i="2"/>
  <c r="L25" i="2"/>
  <c r="N25" i="2"/>
  <c r="P138" i="2"/>
  <c r="L138" i="2"/>
  <c r="N138" i="2"/>
  <c r="O138" i="2"/>
  <c r="L100" i="2"/>
  <c r="P100" i="2"/>
  <c r="O100" i="2"/>
  <c r="N100" i="2"/>
  <c r="N113" i="2"/>
  <c r="O113" i="2"/>
  <c r="L113" i="2"/>
  <c r="P113" i="2"/>
  <c r="L134" i="2"/>
  <c r="P134" i="2"/>
  <c r="O134" i="2"/>
  <c r="N134" i="2"/>
  <c r="O233" i="2"/>
  <c r="P233" i="2"/>
  <c r="L233" i="2"/>
  <c r="P158" i="2"/>
  <c r="O158" i="2"/>
  <c r="L158" i="2"/>
  <c r="N158" i="2"/>
  <c r="L19" i="2"/>
  <c r="N19" i="2"/>
  <c r="P19" i="2"/>
  <c r="O181" i="2"/>
  <c r="P181" i="2"/>
  <c r="L181" i="2"/>
  <c r="N181" i="2"/>
  <c r="L147" i="2"/>
  <c r="P147" i="2"/>
  <c r="O147" i="2"/>
  <c r="N147" i="2"/>
  <c r="P55" i="2"/>
  <c r="L55" i="2"/>
  <c r="O55" i="2"/>
  <c r="N55" i="2"/>
  <c r="O112" i="2"/>
  <c r="P112" i="2"/>
  <c r="L112" i="2"/>
  <c r="N112" i="2"/>
  <c r="L41" i="2"/>
  <c r="P41" i="2"/>
  <c r="N41" i="2"/>
  <c r="L170" i="2"/>
  <c r="P170" i="2"/>
  <c r="O170" i="2"/>
  <c r="N170" i="2"/>
  <c r="P243" i="2"/>
  <c r="L243" i="2"/>
  <c r="O243" i="2"/>
  <c r="L46" i="2"/>
  <c r="P46" i="2"/>
  <c r="N46" i="2"/>
  <c r="P196" i="2"/>
  <c r="O196" i="2"/>
  <c r="L196" i="2"/>
  <c r="N196" i="2"/>
  <c r="P269" i="2"/>
  <c r="L269" i="2"/>
  <c r="O269" i="2"/>
  <c r="P69" i="2"/>
  <c r="L69" i="2"/>
  <c r="O69" i="2"/>
  <c r="N69" i="2"/>
  <c r="O201" i="2"/>
  <c r="P201" i="2"/>
  <c r="L201" i="2"/>
  <c r="N201" i="2"/>
  <c r="L223" i="2"/>
  <c r="P223" i="2"/>
  <c r="O223" i="2"/>
  <c r="N223" i="2"/>
  <c r="P183" i="2"/>
  <c r="L183" i="2"/>
  <c r="O183" i="2"/>
  <c r="N183" i="2"/>
  <c r="L78" i="2"/>
  <c r="P78" i="2"/>
  <c r="O78" i="2"/>
  <c r="N78" i="2"/>
  <c r="L239" i="2"/>
  <c r="P239" i="2"/>
  <c r="O239" i="2"/>
  <c r="P307" i="2"/>
  <c r="L307" i="2"/>
  <c r="O307" i="2"/>
  <c r="P144" i="2"/>
  <c r="O144" i="2"/>
  <c r="L144" i="2"/>
  <c r="N144" i="2"/>
  <c r="P182" i="2"/>
  <c r="L182" i="2"/>
  <c r="O182" i="2"/>
  <c r="N182" i="2"/>
  <c r="P30" i="2"/>
  <c r="L30" i="2"/>
  <c r="N30" i="2"/>
  <c r="P111" i="2"/>
  <c r="L111" i="2"/>
  <c r="O111" i="2"/>
  <c r="N111" i="2"/>
  <c r="O286" i="2"/>
  <c r="P286" i="2"/>
  <c r="L286" i="2"/>
  <c r="P73" i="2"/>
  <c r="L73" i="2"/>
  <c r="O73" i="2"/>
  <c r="N73" i="2"/>
  <c r="L197" i="2"/>
  <c r="P197" i="2"/>
  <c r="O197" i="2"/>
  <c r="N197" i="2"/>
  <c r="P121" i="2"/>
  <c r="L121" i="2"/>
  <c r="O121" i="2"/>
  <c r="N121" i="2"/>
  <c r="L232" i="2"/>
  <c r="O232" i="2"/>
  <c r="P232" i="2"/>
  <c r="L13" i="2"/>
  <c r="N13" i="2"/>
  <c r="P13" i="2"/>
  <c r="L242" i="2"/>
  <c r="O242" i="2"/>
  <c r="P242" i="2"/>
  <c r="L271" i="2"/>
  <c r="P271" i="2"/>
  <c r="O271" i="2"/>
  <c r="L60" i="2"/>
  <c r="P60" i="2"/>
  <c r="O60" i="2"/>
  <c r="N60" i="2"/>
  <c r="P174" i="2"/>
  <c r="O174" i="2"/>
  <c r="L174" i="2"/>
  <c r="N174" i="2"/>
  <c r="L229" i="2"/>
  <c r="O229" i="2"/>
  <c r="P229" i="2"/>
  <c r="L302" i="2"/>
  <c r="O302" i="2"/>
  <c r="P302" i="2"/>
  <c r="L169" i="2"/>
  <c r="O169" i="2"/>
  <c r="P169" i="2"/>
  <c r="N169" i="2"/>
  <c r="N35" i="2"/>
  <c r="P35" i="2"/>
  <c r="L35" i="2"/>
  <c r="L67" i="2"/>
  <c r="N67" i="2"/>
  <c r="P67" i="2"/>
  <c r="O67" i="2"/>
  <c r="L151" i="2"/>
  <c r="N151" i="2"/>
  <c r="P151" i="2"/>
  <c r="O151" i="2"/>
  <c r="L58" i="2"/>
  <c r="P58" i="2"/>
  <c r="O58" i="2"/>
  <c r="N58" i="2"/>
  <c r="O268" i="2"/>
  <c r="L268" i="2"/>
  <c r="P268" i="2"/>
  <c r="L213" i="2"/>
  <c r="O213" i="2"/>
  <c r="P213" i="2"/>
  <c r="N213" i="2"/>
  <c r="P143" i="2"/>
  <c r="L143" i="2"/>
  <c r="O143" i="2"/>
  <c r="N143" i="2"/>
  <c r="O93" i="2"/>
  <c r="P93" i="2"/>
  <c r="N93" i="2"/>
  <c r="L93" i="2"/>
  <c r="L57" i="2"/>
  <c r="P57" i="2"/>
  <c r="N57" i="2"/>
  <c r="O57" i="2"/>
  <c r="L160" i="2"/>
  <c r="P160" i="2"/>
  <c r="O160" i="2"/>
  <c r="N160" i="2"/>
  <c r="L231" i="2"/>
  <c r="P231" i="2"/>
  <c r="O231" i="2"/>
  <c r="L23" i="2"/>
  <c r="P23" i="2"/>
  <c r="N23" i="2"/>
  <c r="L114" i="2"/>
  <c r="P114" i="2"/>
  <c r="O114" i="2"/>
  <c r="N114" i="2"/>
  <c r="P118" i="2"/>
  <c r="O118" i="2"/>
  <c r="L118" i="2"/>
  <c r="N118" i="2"/>
  <c r="L33" i="2"/>
  <c r="P33" i="2"/>
  <c r="N33" i="2"/>
  <c r="L99" i="2"/>
  <c r="N99" i="2"/>
  <c r="O99" i="2"/>
  <c r="P99" i="2"/>
  <c r="P154" i="2"/>
  <c r="O154" i="2"/>
  <c r="L154" i="2"/>
  <c r="N154" i="2"/>
  <c r="L263" i="2"/>
  <c r="P263" i="2"/>
  <c r="O263" i="2"/>
  <c r="L159" i="2"/>
  <c r="O159" i="2"/>
  <c r="P159" i="2"/>
  <c r="N159" i="2"/>
  <c r="P295" i="2"/>
  <c r="L295" i="2"/>
  <c r="O295" i="2"/>
  <c r="O299" i="2"/>
  <c r="L299" i="2"/>
  <c r="P299" i="2"/>
  <c r="P236" i="2"/>
  <c r="L236" i="2"/>
  <c r="O236" i="2"/>
  <c r="N72" i="2"/>
  <c r="P72" i="2"/>
  <c r="L72" i="2"/>
  <c r="O72" i="2"/>
  <c r="L198" i="2"/>
  <c r="O198" i="2"/>
  <c r="N198" i="2"/>
  <c r="P198" i="2"/>
  <c r="P65" i="2"/>
  <c r="N65" i="2"/>
  <c r="L65" i="2"/>
  <c r="O65" i="2"/>
  <c r="L155" i="2"/>
  <c r="N155" i="2"/>
  <c r="P155" i="2"/>
  <c r="O155" i="2"/>
  <c r="P83" i="2"/>
  <c r="L83" i="2"/>
  <c r="O83" i="2"/>
  <c r="N83" i="2"/>
  <c r="P283" i="2"/>
  <c r="L283" i="2"/>
  <c r="O283" i="2"/>
  <c r="P11" i="2"/>
  <c r="L11" i="2"/>
  <c r="N11" i="2"/>
  <c r="L310" i="2"/>
  <c r="P310" i="2"/>
  <c r="O310" i="2"/>
  <c r="P48" i="2"/>
  <c r="L48" i="2"/>
  <c r="N48" i="2"/>
  <c r="L28" i="2"/>
  <c r="P28" i="2"/>
  <c r="N28" i="2"/>
  <c r="P136" i="2"/>
  <c r="O136" i="2"/>
  <c r="L136" i="2"/>
  <c r="N136" i="2"/>
  <c r="O221" i="2"/>
  <c r="L221" i="2"/>
  <c r="P221" i="2"/>
  <c r="N221" i="2"/>
  <c r="P39" i="2"/>
  <c r="L39" i="2"/>
  <c r="N39" i="2"/>
  <c r="L178" i="2"/>
  <c r="P178" i="2"/>
  <c r="O178" i="2"/>
  <c r="N178" i="2"/>
  <c r="L260" i="2"/>
  <c r="P260" i="2"/>
  <c r="O260" i="2"/>
  <c r="N63" i="2"/>
  <c r="L63" i="2"/>
  <c r="P63" i="2"/>
  <c r="O63" i="2"/>
  <c r="L218" i="2"/>
  <c r="N218" i="2"/>
  <c r="P218" i="2"/>
  <c r="O218" i="2"/>
  <c r="O204" i="2"/>
  <c r="L204" i="2"/>
  <c r="P204" i="2"/>
  <c r="N204" i="2"/>
  <c r="L152" i="2"/>
  <c r="P152" i="2"/>
  <c r="N152" i="2"/>
  <c r="O152" i="2"/>
  <c r="O127" i="2"/>
  <c r="N127" i="2"/>
  <c r="L127" i="2"/>
  <c r="P127" i="2"/>
  <c r="P270" i="2"/>
  <c r="L270" i="2"/>
  <c r="O270" i="2"/>
  <c r="L166" i="2"/>
  <c r="O166" i="2"/>
  <c r="N166" i="2"/>
  <c r="P166" i="2"/>
  <c r="P82" i="2"/>
  <c r="N82" i="2"/>
  <c r="L82" i="2"/>
  <c r="O82" i="2"/>
  <c r="L150" i="2"/>
  <c r="P150" i="2"/>
  <c r="O150" i="2"/>
  <c r="N150" i="2"/>
  <c r="L305" i="2"/>
  <c r="O305" i="2"/>
  <c r="P305" i="2"/>
  <c r="P296" i="2"/>
  <c r="L296" i="2"/>
  <c r="O296" i="2"/>
  <c r="L185" i="2"/>
  <c r="O185" i="2"/>
  <c r="P185" i="2"/>
  <c r="N185" i="2"/>
  <c r="L21" i="2"/>
  <c r="P21" i="2"/>
  <c r="N21" i="2"/>
  <c r="P123" i="2"/>
  <c r="L123" i="2"/>
  <c r="O123" i="2"/>
  <c r="N123" i="2"/>
  <c r="P203" i="2"/>
  <c r="O203" i="2"/>
  <c r="L203" i="2"/>
  <c r="N203" i="2"/>
  <c r="L32" i="2"/>
  <c r="P32" i="2"/>
  <c r="N32" i="2"/>
  <c r="O156" i="2"/>
  <c r="P156" i="2"/>
  <c r="L156" i="2"/>
  <c r="N156" i="2"/>
  <c r="N70" i="2"/>
  <c r="L70" i="2"/>
  <c r="P70" i="2"/>
  <c r="O70" i="2"/>
  <c r="L300" i="2"/>
  <c r="O300" i="2"/>
  <c r="P300" i="2"/>
  <c r="L293" i="2"/>
  <c r="P293" i="2"/>
  <c r="O293" i="2"/>
  <c r="P31" i="2"/>
  <c r="L31" i="2"/>
  <c r="N31" i="2"/>
  <c r="L101" i="2"/>
  <c r="P101" i="2"/>
  <c r="O101" i="2"/>
  <c r="N101" i="2"/>
  <c r="O195" i="2"/>
  <c r="L195" i="2"/>
  <c r="P195" i="2"/>
  <c r="N195" i="2"/>
  <c r="P171" i="2"/>
  <c r="L171" i="2"/>
  <c r="O171" i="2"/>
  <c r="N171" i="2"/>
  <c r="O205" i="2"/>
  <c r="L205" i="2"/>
  <c r="P205" i="2"/>
  <c r="N205" i="2"/>
  <c r="L262" i="2"/>
  <c r="O262" i="2"/>
  <c r="P262" i="2"/>
  <c r="L164" i="2"/>
  <c r="O164" i="2"/>
  <c r="P164" i="2"/>
  <c r="N164" i="2"/>
  <c r="P311" i="2"/>
  <c r="O311" i="2"/>
  <c r="L311" i="2"/>
  <c r="P106" i="2"/>
  <c r="O106" i="2"/>
  <c r="N106" i="2"/>
  <c r="L106" i="2"/>
  <c r="O297" i="2"/>
  <c r="P297" i="2"/>
  <c r="L297" i="2"/>
  <c r="P44" i="2"/>
  <c r="L44" i="2"/>
  <c r="N44" i="2"/>
  <c r="P162" i="2"/>
  <c r="N162" i="2"/>
  <c r="O162" i="2"/>
  <c r="L162" i="2"/>
  <c r="L87" i="2"/>
  <c r="P87" i="2"/>
  <c r="O87" i="2"/>
  <c r="N87" i="2"/>
  <c r="P258" i="2"/>
  <c r="L258" i="2"/>
  <c r="O258" i="2"/>
  <c r="P217" i="2"/>
  <c r="O217" i="2"/>
  <c r="L217" i="2"/>
  <c r="N217" i="2"/>
  <c r="L14" i="2"/>
  <c r="P14" i="2"/>
  <c r="N14" i="2"/>
  <c r="L117" i="2"/>
  <c r="P117" i="2"/>
  <c r="O117" i="2"/>
  <c r="N117" i="2"/>
  <c r="L161" i="2"/>
  <c r="P161" i="2"/>
  <c r="O161" i="2"/>
  <c r="N161" i="2"/>
  <c r="L298" i="2"/>
  <c r="P298" i="2"/>
  <c r="O298" i="2"/>
  <c r="O237" i="2"/>
  <c r="L237" i="2"/>
  <c r="P237" i="2"/>
  <c r="O194" i="2"/>
  <c r="P194" i="2"/>
  <c r="L194" i="2"/>
  <c r="N194" i="2"/>
  <c r="P42" i="2"/>
  <c r="N42" i="2"/>
  <c r="L42" i="2"/>
  <c r="L68" i="2"/>
  <c r="P68" i="2"/>
  <c r="O68" i="2"/>
  <c r="N68" i="2"/>
  <c r="L10" i="2"/>
  <c r="P10" i="2"/>
  <c r="N10" i="2"/>
  <c r="L24" i="2"/>
  <c r="P24" i="2"/>
  <c r="N24" i="2"/>
  <c r="P50" i="2"/>
  <c r="L50" i="2"/>
  <c r="O50" i="2"/>
  <c r="N50" i="2"/>
  <c r="P115" i="2"/>
  <c r="O115" i="2"/>
  <c r="L115" i="2"/>
  <c r="N115" i="2"/>
  <c r="L98" i="2"/>
  <c r="P98" i="2"/>
  <c r="O98" i="2"/>
  <c r="N98" i="2"/>
  <c r="L212" i="2"/>
  <c r="O212" i="2"/>
  <c r="P212" i="2"/>
  <c r="N212" i="2"/>
  <c r="P108" i="2"/>
  <c r="L108" i="2"/>
  <c r="O108" i="2"/>
  <c r="N108" i="2"/>
  <c r="P139" i="2"/>
  <c r="L139" i="2"/>
  <c r="O139" i="2"/>
  <c r="N139" i="2"/>
  <c r="P291" i="2"/>
  <c r="L291" i="2"/>
  <c r="O291" i="2"/>
  <c r="P80" i="2"/>
  <c r="L80" i="2"/>
  <c r="O80" i="2"/>
  <c r="N80" i="2"/>
  <c r="P214" i="2"/>
  <c r="L214" i="2"/>
  <c r="O214" i="2"/>
  <c r="N214" i="2"/>
  <c r="L51" i="2"/>
  <c r="N51" i="2"/>
  <c r="P51" i="2"/>
  <c r="O51" i="2"/>
  <c r="P288" i="2"/>
  <c r="L288" i="2"/>
  <c r="O288" i="2"/>
  <c r="O267" i="2"/>
  <c r="P267" i="2"/>
  <c r="L267" i="2"/>
  <c r="L17" i="2"/>
  <c r="P17" i="2"/>
  <c r="N17" i="2"/>
  <c r="L141" i="2"/>
  <c r="O141" i="2"/>
  <c r="P141" i="2"/>
  <c r="N141" i="2"/>
  <c r="P261" i="2"/>
  <c r="L261" i="2"/>
  <c r="O261" i="2"/>
  <c r="L38" i="2"/>
  <c r="P38" i="2"/>
  <c r="N38" i="2"/>
  <c r="N149" i="2"/>
  <c r="L149" i="2"/>
  <c r="P149" i="2"/>
  <c r="O149" i="2"/>
  <c r="N52" i="2"/>
  <c r="P52" i="2"/>
  <c r="L52" i="2"/>
  <c r="O52" i="2"/>
  <c r="L255" i="2"/>
  <c r="O255" i="2"/>
  <c r="P255" i="2"/>
  <c r="L208" i="2"/>
  <c r="N208" i="2"/>
  <c r="P208" i="2"/>
  <c r="O208" i="2"/>
  <c r="O116" i="2"/>
  <c r="P116" i="2"/>
  <c r="N116" i="2"/>
  <c r="L116" i="2"/>
  <c r="P79" i="2"/>
  <c r="N79" i="2"/>
  <c r="L79" i="2"/>
  <c r="O79" i="2"/>
  <c r="P279" i="2"/>
  <c r="O279" i="2"/>
  <c r="L279" i="2"/>
  <c r="L184" i="2"/>
  <c r="P184" i="2"/>
  <c r="N184" i="2"/>
  <c r="O184" i="2"/>
  <c r="P168" i="2"/>
  <c r="L168" i="2"/>
  <c r="O168" i="2"/>
  <c r="N168" i="2"/>
  <c r="L128" i="2"/>
  <c r="O128" i="2"/>
  <c r="P128" i="2"/>
  <c r="N128" i="2"/>
  <c r="L119" i="2"/>
  <c r="P119" i="2"/>
  <c r="O119" i="2"/>
  <c r="N119" i="2"/>
  <c r="P188" i="2"/>
  <c r="O188" i="2"/>
  <c r="L188" i="2"/>
  <c r="N188" i="2"/>
  <c r="L259" i="2"/>
  <c r="P259" i="2"/>
  <c r="O259" i="2"/>
  <c r="P59" i="2"/>
  <c r="L59" i="2"/>
  <c r="O59" i="2"/>
  <c r="N59" i="2"/>
  <c r="P206" i="2"/>
  <c r="O206" i="2"/>
  <c r="L206" i="2"/>
  <c r="N206" i="2"/>
  <c r="P280" i="2"/>
  <c r="L280" i="2"/>
  <c r="O280" i="2"/>
  <c r="P76" i="2"/>
  <c r="L76" i="2"/>
  <c r="O76" i="2"/>
  <c r="N76" i="2"/>
  <c r="P304" i="2"/>
  <c r="L304" i="2"/>
  <c r="O304" i="2"/>
  <c r="P254" i="2"/>
  <c r="L254" i="2"/>
  <c r="O254" i="2"/>
  <c r="P215" i="2"/>
  <c r="O215" i="2"/>
  <c r="L215" i="2"/>
  <c r="N215" i="2"/>
  <c r="L61" i="2"/>
  <c r="N61" i="2"/>
  <c r="P61" i="2"/>
  <c r="O61" i="2"/>
  <c r="L148" i="2"/>
  <c r="P148" i="2"/>
  <c r="N148" i="2"/>
  <c r="O148" i="2"/>
  <c r="L86" i="2"/>
  <c r="O86" i="2"/>
  <c r="P86" i="2"/>
  <c r="N86" i="2"/>
  <c r="L274" i="2"/>
  <c r="P274" i="2"/>
  <c r="O274" i="2"/>
  <c r="L18" i="2"/>
  <c r="P18" i="2"/>
  <c r="N18" i="2"/>
  <c r="L75" i="2"/>
  <c r="P75" i="2"/>
  <c r="O75" i="2"/>
  <c r="N75" i="2"/>
  <c r="L225" i="2"/>
  <c r="O225" i="2"/>
  <c r="P225" i="2"/>
  <c r="N225" i="2"/>
  <c r="P207" i="2"/>
  <c r="L207" i="2"/>
  <c r="O207" i="2"/>
  <c r="N207" i="2"/>
  <c r="P92" i="2"/>
  <c r="L92" i="2"/>
  <c r="O92" i="2"/>
  <c r="N92" i="2"/>
  <c r="L133" i="2"/>
  <c r="P133" i="2"/>
  <c r="O133" i="2"/>
  <c r="N133" i="2"/>
  <c r="L303" i="2"/>
  <c r="P303" i="2"/>
  <c r="O303" i="2"/>
  <c r="P103" i="2"/>
  <c r="L103" i="2"/>
  <c r="O103" i="2"/>
  <c r="N103" i="2"/>
  <c r="L175" i="2"/>
  <c r="O175" i="2"/>
  <c r="P175" i="2"/>
  <c r="N175" i="2"/>
  <c r="P12" i="2"/>
  <c r="L12" i="2"/>
  <c r="N12" i="2"/>
  <c r="N120" i="2"/>
  <c r="O120" i="2"/>
  <c r="P120" i="2"/>
  <c r="L120" i="2"/>
  <c r="L45" i="2"/>
  <c r="P45" i="2"/>
  <c r="N45" i="2"/>
  <c r="P36" i="2"/>
  <c r="L36" i="2"/>
  <c r="N36" i="2"/>
  <c r="P315" i="2"/>
  <c r="L315" i="2"/>
  <c r="O315" i="2"/>
  <c r="L282" i="2"/>
  <c r="P282" i="2"/>
  <c r="O282" i="2"/>
  <c r="L240" i="2"/>
  <c r="O240" i="2"/>
  <c r="P240" i="2"/>
  <c r="L124" i="2"/>
  <c r="P124" i="2"/>
  <c r="O124" i="2"/>
  <c r="N124" i="2"/>
  <c r="P172" i="2"/>
  <c r="O172" i="2"/>
  <c r="L172" i="2"/>
  <c r="N172" i="2"/>
  <c r="P64" i="2"/>
  <c r="L64" i="2"/>
  <c r="O64" i="2"/>
  <c r="N64" i="2"/>
  <c r="P249" i="2"/>
  <c r="L249" i="2"/>
  <c r="O249" i="2"/>
  <c r="O248" i="2"/>
  <c r="L248" i="2"/>
  <c r="P248" i="2"/>
  <c r="P20" i="2"/>
  <c r="L20" i="2"/>
  <c r="N20" i="2"/>
  <c r="P251" i="2"/>
  <c r="O251" i="2"/>
  <c r="L251" i="2"/>
  <c r="P97" i="2"/>
  <c r="O97" i="2"/>
  <c r="L97" i="2"/>
  <c r="N97" i="2"/>
  <c r="L40" i="2"/>
  <c r="P40" i="2"/>
  <c r="N40" i="2"/>
  <c r="P308" i="2"/>
  <c r="O308" i="2"/>
  <c r="L308" i="2"/>
  <c r="P277" i="2"/>
  <c r="L277" i="2"/>
  <c r="O277" i="2"/>
  <c r="L292" i="2"/>
  <c r="P292" i="2"/>
  <c r="O292" i="2"/>
  <c r="P71" i="2"/>
  <c r="L71" i="2"/>
  <c r="O71" i="2"/>
  <c r="N71" i="2"/>
  <c r="L200" i="2"/>
  <c r="O200" i="2"/>
  <c r="P200" i="2"/>
  <c r="N200" i="2"/>
  <c r="P264" i="2"/>
  <c r="O264" i="2"/>
  <c r="L264" i="2"/>
  <c r="P43" i="2"/>
  <c r="L43" i="2"/>
  <c r="N43" i="2"/>
  <c r="P230" i="2"/>
  <c r="L230" i="2"/>
  <c r="O230" i="2"/>
  <c r="P104" i="2"/>
  <c r="L104" i="2"/>
  <c r="O104" i="2"/>
  <c r="N104" i="2"/>
  <c r="L29" i="2"/>
  <c r="P29" i="2"/>
  <c r="N29" i="2"/>
  <c r="O272" i="2"/>
  <c r="L272" i="2"/>
  <c r="P272" i="2"/>
  <c r="L5" i="2"/>
  <c r="N5" i="2"/>
  <c r="P5" i="2"/>
  <c r="P81" i="2"/>
  <c r="L81" i="2"/>
  <c r="O81" i="2"/>
  <c r="N81" i="2"/>
  <c r="L301" i="2"/>
  <c r="P301" i="2"/>
  <c r="O301" i="2"/>
  <c r="L16" i="2"/>
  <c r="P16" i="2"/>
  <c r="N16" i="2"/>
  <c r="P7" i="2"/>
  <c r="L7" i="2"/>
  <c r="N7" i="2"/>
  <c r="O227" i="2"/>
  <c r="L227" i="2"/>
  <c r="P227" i="2"/>
  <c r="N227" i="2"/>
  <c r="L202" i="2"/>
  <c r="O202" i="2"/>
  <c r="P202" i="2"/>
  <c r="N202" i="2"/>
  <c r="L257" i="2"/>
  <c r="P257" i="2"/>
  <c r="O257" i="2"/>
  <c r="P34" i="2"/>
  <c r="L34" i="2"/>
  <c r="N34" i="2"/>
  <c r="P146" i="2"/>
  <c r="O146" i="2"/>
  <c r="L146" i="2"/>
  <c r="N146" i="2"/>
  <c r="P189" i="2"/>
  <c r="O189" i="2"/>
  <c r="L189" i="2"/>
  <c r="N189" i="2"/>
  <c r="L306" i="2"/>
  <c r="P306" i="2"/>
  <c r="O306" i="2"/>
  <c r="L209" i="2"/>
  <c r="O209" i="2"/>
  <c r="P209" i="2"/>
  <c r="N209" i="2"/>
  <c r="L186" i="2"/>
  <c r="P186" i="2"/>
  <c r="O186" i="2"/>
  <c r="N186" i="2"/>
  <c r="O177" i="2"/>
  <c r="L177" i="2"/>
  <c r="P177" i="2"/>
  <c r="N177" i="2"/>
  <c r="O126" i="2"/>
  <c r="N126" i="2"/>
  <c r="L126" i="2"/>
  <c r="P126" i="2"/>
  <c r="O95" i="2"/>
  <c r="L95" i="2"/>
  <c r="N95" i="2"/>
  <c r="P95" i="2"/>
  <c r="P290" i="2"/>
  <c r="L290" i="2"/>
  <c r="O290" i="2"/>
  <c r="O247" i="2"/>
  <c r="P247" i="2"/>
  <c r="L247" i="2"/>
  <c r="P130" i="2"/>
  <c r="O130" i="2"/>
  <c r="L130" i="2"/>
  <c r="N130" i="2"/>
  <c r="O281" i="2"/>
  <c r="L281" i="2"/>
  <c r="P281" i="2"/>
  <c r="L250" i="2"/>
  <c r="P250" i="2"/>
  <c r="O250" i="2"/>
  <c r="P265" i="2"/>
  <c r="O265" i="2"/>
  <c r="L265" i="2"/>
  <c r="L176" i="2"/>
  <c r="N176" i="2"/>
  <c r="P176" i="2"/>
  <c r="O176" i="2"/>
  <c r="L26" i="2"/>
  <c r="P26" i="2"/>
  <c r="N26" i="2"/>
  <c r="P165" i="2"/>
  <c r="L165" i="2"/>
  <c r="O165" i="2"/>
  <c r="N165" i="2"/>
  <c r="P256" i="2"/>
  <c r="O256" i="2"/>
  <c r="L256" i="2"/>
  <c r="P238" i="2"/>
  <c r="L238" i="2"/>
  <c r="O238" i="2"/>
  <c r="P285" i="2"/>
  <c r="O285" i="2"/>
  <c r="L285" i="2"/>
  <c r="L85" i="2"/>
  <c r="P85" i="2"/>
  <c r="O85" i="2"/>
  <c r="N85" i="2"/>
  <c r="L246" i="2"/>
  <c r="P246" i="2"/>
  <c r="O246" i="2"/>
  <c r="P294" i="2"/>
  <c r="L294" i="2"/>
  <c r="O294" i="2"/>
  <c r="L96" i="2"/>
  <c r="P96" i="2"/>
  <c r="O96" i="2"/>
  <c r="N96" i="2"/>
  <c r="P153" i="2"/>
  <c r="O153" i="2"/>
  <c r="L153" i="2"/>
  <c r="N153" i="2"/>
  <c r="L4" i="2"/>
  <c r="N4" i="2"/>
  <c r="P4" i="2"/>
  <c r="L49" i="2"/>
  <c r="P49" i="2"/>
  <c r="N49" i="2"/>
  <c r="P56" i="2"/>
  <c r="L56" i="2"/>
  <c r="N56" i="2"/>
  <c r="O56" i="2"/>
  <c r="P187" i="2"/>
  <c r="L187" i="2"/>
  <c r="O187" i="2"/>
  <c r="N187" i="2"/>
  <c r="P316" i="2"/>
  <c r="O316" i="2"/>
  <c r="L316" i="2"/>
  <c r="P15" i="2"/>
  <c r="L15" i="2"/>
  <c r="N15" i="2"/>
  <c r="O173" i="2"/>
  <c r="P173" i="2"/>
  <c r="L173" i="2"/>
  <c r="N173" i="2"/>
  <c r="O90" i="2"/>
  <c r="P90" i="2"/>
  <c r="L90" i="2"/>
  <c r="N90" i="2"/>
  <c r="L266" i="2"/>
  <c r="P266" i="2"/>
  <c r="O266" i="2"/>
  <c r="P62" i="2"/>
  <c r="L62" i="2"/>
  <c r="O62" i="2"/>
  <c r="N62" i="2"/>
  <c r="P228" i="2"/>
  <c r="O228" i="2"/>
  <c r="L228" i="2"/>
  <c r="L210" i="2"/>
  <c r="O210" i="2"/>
  <c r="P210" i="2"/>
  <c r="N210" i="2"/>
  <c r="P276" i="2"/>
  <c r="L276" i="2"/>
  <c r="O276" i="2"/>
  <c r="P66" i="2"/>
  <c r="L66" i="2"/>
  <c r="O66" i="2"/>
  <c r="N66" i="2"/>
  <c r="P224" i="2"/>
  <c r="L224" i="2"/>
  <c r="O224" i="2"/>
  <c r="N224" i="2"/>
  <c r="L289" i="2"/>
  <c r="P289" i="2"/>
  <c r="O289" i="2"/>
  <c r="L89" i="2"/>
  <c r="P89" i="2"/>
  <c r="O89" i="2"/>
  <c r="N89" i="2"/>
  <c r="O135" i="2"/>
  <c r="L135" i="2"/>
  <c r="P135" i="2"/>
  <c r="N135" i="2"/>
  <c r="L226" i="2"/>
  <c r="P226" i="2"/>
  <c r="O226" i="2"/>
  <c r="N226" i="2"/>
  <c r="P241" i="2"/>
  <c r="O241" i="2"/>
  <c r="L241" i="2"/>
  <c r="N109" i="2"/>
  <c r="O109" i="2"/>
  <c r="P109" i="2"/>
  <c r="L109" i="2"/>
  <c r="D34" i="4"/>
  <c r="D33" i="4"/>
  <c r="D36" i="4"/>
  <c r="D35" i="4"/>
  <c r="V14" i="4" a="1"/>
  <c r="V14" i="4" s="1"/>
  <c r="R23" i="1"/>
  <c r="X13" i="4" a="1"/>
  <c r="X13" i="4" s="1"/>
  <c r="N14" i="4" a="1"/>
  <c r="N14" i="4" s="1"/>
  <c r="J23" i="1"/>
  <c r="P13" i="4" a="1"/>
  <c r="P13" i="4" s="1"/>
  <c r="G34" i="4"/>
  <c r="G33" i="4"/>
  <c r="G35" i="4"/>
  <c r="G36" i="4"/>
  <c r="X14" i="4" a="1"/>
  <c r="X14" i="4" s="1"/>
  <c r="T23" i="1"/>
  <c r="Z13" i="4" a="1"/>
  <c r="Z13" i="4" s="1"/>
  <c r="I14" i="4" a="1"/>
  <c r="I14" i="4" s="1"/>
  <c r="E23" i="1"/>
  <c r="K13" i="4" a="1"/>
  <c r="K13" i="4" s="1"/>
  <c r="N23" i="1"/>
  <c r="T13" i="4" a="1"/>
  <c r="T13" i="4" s="1"/>
  <c r="R14" i="4" a="1"/>
  <c r="R14" i="4" s="1"/>
  <c r="M13" i="4" a="1"/>
  <c r="M13" i="4" s="1"/>
  <c r="G23" i="1"/>
  <c r="K14" i="4" a="1"/>
  <c r="K14" i="4" s="1"/>
  <c r="P23" i="1"/>
  <c r="V13" i="4" a="1"/>
  <c r="V13" i="4" s="1"/>
  <c r="T14" i="4" a="1"/>
  <c r="T14" i="4" s="1"/>
  <c r="I23" i="1"/>
  <c r="O13" i="4" a="1"/>
  <c r="O13" i="4" s="1"/>
  <c r="M14" i="4" a="1"/>
  <c r="M14" i="4" s="1"/>
  <c r="R42" i="4"/>
  <c r="R40" i="4"/>
  <c r="H31" i="4"/>
  <c r="H30" i="4"/>
  <c r="H28" i="4"/>
  <c r="H29" i="4"/>
  <c r="F28" i="4"/>
  <c r="F29" i="4"/>
  <c r="I18" i="4"/>
  <c r="I45" i="4"/>
  <c r="V30" i="4"/>
  <c r="V31" i="4"/>
  <c r="V28" i="4"/>
  <c r="V29" i="4"/>
  <c r="S46" i="4"/>
  <c r="S47" i="4"/>
  <c r="S45" i="4"/>
  <c r="S48" i="4"/>
  <c r="H36" i="4"/>
  <c r="Y35" i="4"/>
  <c r="Y36" i="4"/>
  <c r="Y34" i="4"/>
  <c r="P36" i="4"/>
  <c r="Q23" i="1"/>
  <c r="U14" i="4" a="1"/>
  <c r="U14" i="4" s="1"/>
  <c r="W13" i="4" a="1"/>
  <c r="W13" i="4" s="1"/>
  <c r="J13" i="4" a="1"/>
  <c r="J13" i="4" s="1"/>
  <c r="D23" i="1"/>
  <c r="D10" i="4" s="1"/>
  <c r="D15" i="4" s="1"/>
  <c r="D24" i="1" s="1"/>
  <c r="H14" i="4" a="1"/>
  <c r="H14" i="4" s="1"/>
  <c r="Z14" i="4" a="1"/>
  <c r="Z14" i="4" s="1"/>
  <c r="V23" i="1"/>
  <c r="F23" i="1"/>
  <c r="F10" i="4" s="1"/>
  <c r="L13" i="4" a="1"/>
  <c r="L13" i="4" s="1"/>
  <c r="J14" i="4" a="1"/>
  <c r="J14" i="4" s="1"/>
  <c r="J33" i="4"/>
  <c r="O36" i="4"/>
  <c r="W23" i="1"/>
  <c r="AA14" i="4" a="1"/>
  <c r="AA14" i="4" s="1"/>
  <c r="E30" i="4"/>
  <c r="E31" i="4"/>
  <c r="E10" i="4"/>
  <c r="E29" i="4"/>
  <c r="S30" i="4"/>
  <c r="S28" i="4"/>
  <c r="S29" i="4"/>
  <c r="R47" i="4"/>
  <c r="R46" i="4"/>
  <c r="C29" i="4"/>
  <c r="C28" i="4"/>
  <c r="C30" i="4"/>
  <c r="D30" i="4"/>
  <c r="D29" i="4"/>
  <c r="D31" i="4"/>
  <c r="U45" i="4"/>
  <c r="X40" i="4"/>
  <c r="X41" i="4"/>
  <c r="X42" i="4"/>
  <c r="X43" i="4"/>
  <c r="N45" i="4"/>
  <c r="N48" i="4"/>
  <c r="M2" i="5"/>
  <c r="L2" i="5"/>
  <c r="L3" i="5" s="1"/>
  <c r="L4" i="5" s="1"/>
  <c r="L5" i="5" s="1"/>
  <c r="L6" i="5" s="1"/>
  <c r="L7" i="5" s="1"/>
  <c r="L8" i="5" s="1"/>
  <c r="L9" i="5" s="1"/>
  <c r="L10" i="5" s="1"/>
  <c r="L11" i="5" s="1"/>
  <c r="L12" i="5" s="1"/>
  <c r="L13" i="5" s="1"/>
  <c r="K3" i="5"/>
  <c r="K4" i="5" s="1"/>
  <c r="K5" i="5" s="1"/>
  <c r="K6" i="5" s="1"/>
  <c r="K7" i="5" s="1"/>
  <c r="K8" i="5" s="1"/>
  <c r="K9" i="5" s="1"/>
  <c r="K10" i="5" s="1"/>
  <c r="K11" i="5" s="1"/>
  <c r="K12" i="5" s="1"/>
  <c r="K13" i="5" s="1"/>
  <c r="C33" i="4"/>
  <c r="C35" i="4"/>
  <c r="C36" i="4"/>
  <c r="C34" i="4"/>
  <c r="Y23" i="1"/>
  <c r="AA33" i="4"/>
  <c r="AA36" i="4"/>
  <c r="AA34" i="4"/>
  <c r="AA35" i="4"/>
  <c r="W14" i="4" a="1"/>
  <c r="W14" i="4" s="1"/>
  <c r="S23" i="1"/>
  <c r="Y13" i="4" a="1"/>
  <c r="Y13" i="4" s="1"/>
  <c r="S33" i="4"/>
  <c r="M23" i="1"/>
  <c r="S13" i="4" a="1"/>
  <c r="S13" i="4" s="1"/>
  <c r="Q14" i="4" a="1"/>
  <c r="Q14" i="4" s="1"/>
  <c r="O23" i="1"/>
  <c r="U13" i="4" a="1"/>
  <c r="U13" i="4" s="1"/>
  <c r="S14" i="4" a="1"/>
  <c r="S14" i="4" s="1"/>
  <c r="J46" i="4"/>
  <c r="J45" i="4"/>
  <c r="U42" i="4"/>
  <c r="J43" i="4"/>
  <c r="J41" i="4"/>
  <c r="J40" i="4"/>
  <c r="W47" i="4"/>
  <c r="E47" i="4"/>
  <c r="G45" i="4"/>
  <c r="G47" i="4"/>
  <c r="H48" i="4"/>
  <c r="H47" i="4"/>
  <c r="H46" i="4"/>
  <c r="H45" i="4"/>
  <c r="Q33" i="4"/>
  <c r="Q35" i="4"/>
  <c r="Z34" i="4"/>
  <c r="Z33" i="4"/>
  <c r="Z36" i="4"/>
  <c r="Z35" i="4"/>
  <c r="L33" i="4"/>
  <c r="C23" i="1"/>
  <c r="C10" i="4" s="1"/>
  <c r="G14" i="4" a="1"/>
  <c r="G14" i="4" s="1"/>
  <c r="I13" i="4" a="1"/>
  <c r="I13" i="4" s="1"/>
  <c r="X36" i="4"/>
  <c r="F33" i="4"/>
  <c r="P14" i="4" a="1"/>
  <c r="P14" i="4" s="1"/>
  <c r="L23" i="1"/>
  <c r="R13" i="4" a="1"/>
  <c r="R13" i="4" s="1"/>
  <c r="K23" i="1"/>
  <c r="K10" i="4" s="1"/>
  <c r="O14" i="4" a="1"/>
  <c r="O14" i="4" s="1"/>
  <c r="Q13" i="4" a="1"/>
  <c r="Q13" i="4" s="1"/>
  <c r="U23" i="1"/>
  <c r="AA13" i="4" a="1"/>
  <c r="AA13" i="4" s="1"/>
  <c r="Y14" i="4" a="1"/>
  <c r="Y14" i="4" s="1"/>
  <c r="T36" i="4"/>
  <c r="T34" i="4"/>
  <c r="T33" i="4"/>
  <c r="X23" i="1"/>
  <c r="L14" i="4" a="1"/>
  <c r="L14" i="4" s="1"/>
  <c r="H23" i="1"/>
  <c r="H10" i="4" s="1"/>
  <c r="N13" i="4" a="1"/>
  <c r="N13" i="4" s="1"/>
  <c r="K48" i="4"/>
  <c r="K45" i="4"/>
  <c r="K47" i="4"/>
  <c r="Z30" i="4"/>
  <c r="Z29" i="4"/>
  <c r="Z28" i="4"/>
  <c r="Z31" i="4"/>
  <c r="Z10" i="4"/>
  <c r="L46" i="4"/>
  <c r="U29" i="4"/>
  <c r="U28" i="4"/>
  <c r="Q29" i="4"/>
  <c r="G30" i="4"/>
  <c r="G28" i="4"/>
  <c r="G10" i="4"/>
  <c r="L30" i="4"/>
  <c r="L29" i="4"/>
  <c r="W29" i="4"/>
  <c r="W28" i="4"/>
  <c r="D43" i="4"/>
  <c r="F40" i="4"/>
  <c r="F41" i="4"/>
  <c r="P29" i="4"/>
  <c r="Q18" i="4"/>
  <c r="Q40" i="4"/>
  <c r="L10" i="4" l="1"/>
  <c r="F35" i="4"/>
  <c r="L36" i="4"/>
  <c r="S36" i="4"/>
  <c r="O35" i="4"/>
  <c r="T47" i="4"/>
  <c r="L48" i="4"/>
  <c r="L31" i="4"/>
  <c r="F36" i="4"/>
  <c r="L34" i="4"/>
  <c r="G46" i="4"/>
  <c r="W45" i="4"/>
  <c r="S35" i="4"/>
  <c r="N47" i="4"/>
  <c r="X45" i="4"/>
  <c r="O33" i="4"/>
  <c r="P33" i="4"/>
  <c r="W41" i="4"/>
  <c r="F31" i="4"/>
  <c r="T45" i="4"/>
  <c r="R43" i="4"/>
  <c r="E48" i="4"/>
  <c r="F42" i="4"/>
  <c r="W30" i="4"/>
  <c r="G29" i="4"/>
  <c r="U31" i="4"/>
  <c r="Q34" i="4"/>
  <c r="S10" i="4"/>
  <c r="N46" i="4"/>
  <c r="I35" i="4"/>
  <c r="R10" i="4"/>
  <c r="C45" i="4"/>
  <c r="V45" i="4"/>
  <c r="E41" i="4"/>
  <c r="N40" i="4"/>
  <c r="U18" i="4"/>
  <c r="K41" i="4"/>
  <c r="M30" i="4"/>
  <c r="P31" i="4"/>
  <c r="X34" i="4"/>
  <c r="H34" i="4"/>
  <c r="W40" i="4"/>
  <c r="Z47" i="4"/>
  <c r="X33" i="4"/>
  <c r="G18" i="4"/>
  <c r="X47" i="4"/>
  <c r="K31" i="4"/>
  <c r="K36" i="4"/>
  <c r="K12" i="4" s="1" a="1"/>
  <c r="K12" i="4" s="1"/>
  <c r="P34" i="4"/>
  <c r="I36" i="4"/>
  <c r="N30" i="4"/>
  <c r="M43" i="4"/>
  <c r="G43" i="4"/>
  <c r="K29" i="4"/>
  <c r="N34" i="4"/>
  <c r="N11" i="4" s="1" a="1"/>
  <c r="N11" i="4" s="1"/>
  <c r="P46" i="4"/>
  <c r="O29" i="4"/>
  <c r="Q11" i="4" s="1" a="1"/>
  <c r="Q11" i="4" s="1"/>
  <c r="M29" i="4"/>
  <c r="U36" i="4"/>
  <c r="L43" i="4"/>
  <c r="U10" i="4"/>
  <c r="G41" i="4"/>
  <c r="X18" i="4"/>
  <c r="X48" i="4"/>
  <c r="K28" i="4"/>
  <c r="I34" i="4"/>
  <c r="N28" i="4"/>
  <c r="J29" i="4"/>
  <c r="L11" i="4" s="1" a="1"/>
  <c r="L11" i="4" s="1"/>
  <c r="L40" i="4"/>
  <c r="AA18" i="4"/>
  <c r="I30" i="4"/>
  <c r="E18" i="4"/>
  <c r="M45" i="4"/>
  <c r="R28" i="4"/>
  <c r="I28" i="4"/>
  <c r="V47" i="4"/>
  <c r="M10" i="4"/>
  <c r="S40" i="4"/>
  <c r="Y45" i="4"/>
  <c r="U34" i="4"/>
  <c r="K18" i="4"/>
  <c r="N31" i="4"/>
  <c r="J31" i="4"/>
  <c r="T43" i="4"/>
  <c r="L41" i="4"/>
  <c r="L19" i="4" s="1" a="1"/>
  <c r="L19" i="4" s="1"/>
  <c r="Y28" i="4"/>
  <c r="Y10" i="4"/>
  <c r="O42" i="4"/>
  <c r="W36" i="4"/>
  <c r="M31" i="4"/>
  <c r="C46" i="4"/>
  <c r="X21" i="4" a="1"/>
  <c r="X21" i="4" s="1"/>
  <c r="Y46" i="4"/>
  <c r="U35" i="4"/>
  <c r="J28" i="4"/>
  <c r="C41" i="4"/>
  <c r="C42" i="4"/>
  <c r="T21" i="4" a="1"/>
  <c r="T21" i="4" s="1"/>
  <c r="U21" i="4" a="1"/>
  <c r="U21" i="4" s="1"/>
  <c r="O45" i="4"/>
  <c r="Q45" i="4"/>
  <c r="Q42" i="4"/>
  <c r="F48" i="4"/>
  <c r="F46" i="4"/>
  <c r="H40" i="4"/>
  <c r="H18" i="4"/>
  <c r="I21" i="4" a="1"/>
  <c r="I21" i="4" s="1"/>
  <c r="D46" i="4"/>
  <c r="AA31" i="4"/>
  <c r="AA30" i="4"/>
  <c r="AA10" i="4"/>
  <c r="E33" i="4"/>
  <c r="E34" i="4"/>
  <c r="G11" i="4" s="1" a="1"/>
  <c r="G11" i="4" s="1"/>
  <c r="Y40" i="4"/>
  <c r="Y42" i="4"/>
  <c r="Y18" i="4"/>
  <c r="D40" i="4"/>
  <c r="I41" i="4"/>
  <c r="I42" i="4"/>
  <c r="I47" i="4"/>
  <c r="N21" i="4" a="1"/>
  <c r="N21" i="4" s="1"/>
  <c r="I40" i="4"/>
  <c r="I46" i="4"/>
  <c r="J19" i="4" s="1" a="1"/>
  <c r="J19" i="4" s="1"/>
  <c r="T42" i="4"/>
  <c r="T40" i="4"/>
  <c r="T18" i="4"/>
  <c r="D45" i="4"/>
  <c r="R31" i="4"/>
  <c r="O43" i="4"/>
  <c r="Q47" i="4"/>
  <c r="R33" i="4"/>
  <c r="V46" i="4"/>
  <c r="K21" i="4" a="1"/>
  <c r="K21" i="4" s="1"/>
  <c r="O30" i="4"/>
  <c r="E42" i="4"/>
  <c r="P18" i="4"/>
  <c r="P21" i="4" a="1"/>
  <c r="P21" i="4" s="1"/>
  <c r="T31" i="4"/>
  <c r="S42" i="4"/>
  <c r="C48" i="4"/>
  <c r="AA29" i="4"/>
  <c r="AA11" i="4" s="1" a="1"/>
  <c r="AA11" i="4" s="1"/>
  <c r="F47" i="4"/>
  <c r="T10" i="4"/>
  <c r="X31" i="4"/>
  <c r="X28" i="4"/>
  <c r="Z46" i="4"/>
  <c r="Z42" i="4"/>
  <c r="V18" i="4"/>
  <c r="V40" i="4"/>
  <c r="AA42" i="4"/>
  <c r="AA41" i="4"/>
  <c r="AA47" i="4"/>
  <c r="D18" i="4"/>
  <c r="D23" i="4" s="1"/>
  <c r="D33" i="1" s="1"/>
  <c r="U47" i="4"/>
  <c r="U40" i="4"/>
  <c r="U41" i="4"/>
  <c r="N42" i="4"/>
  <c r="N18" i="4"/>
  <c r="S21" i="4" a="1"/>
  <c r="S21" i="4" s="1"/>
  <c r="M42" i="4"/>
  <c r="M48" i="4"/>
  <c r="M36" i="4"/>
  <c r="M33" i="4"/>
  <c r="V21" i="4" a="1"/>
  <c r="V21" i="4" s="1"/>
  <c r="P43" i="4"/>
  <c r="P48" i="4"/>
  <c r="K42" i="4"/>
  <c r="K40" i="4"/>
  <c r="K43" i="4"/>
  <c r="V34" i="4"/>
  <c r="V36" i="4"/>
  <c r="Q41" i="4"/>
  <c r="S19" i="4" s="1" a="1"/>
  <c r="S19" i="4" s="1"/>
  <c r="C43" i="4"/>
  <c r="J21" i="4" a="1"/>
  <c r="J21" i="4" s="1"/>
  <c r="D42" i="4"/>
  <c r="W10" i="4"/>
  <c r="R30" i="4"/>
  <c r="O41" i="4"/>
  <c r="O48" i="4"/>
  <c r="Y31" i="4"/>
  <c r="Q28" i="4"/>
  <c r="Q48" i="4"/>
  <c r="R36" i="4"/>
  <c r="V48" i="4"/>
  <c r="E46" i="4"/>
  <c r="O31" i="4"/>
  <c r="E40" i="4"/>
  <c r="P40" i="4"/>
  <c r="U43" i="4"/>
  <c r="W35" i="4"/>
  <c r="T28" i="4"/>
  <c r="N41" i="4"/>
  <c r="S18" i="4"/>
  <c r="C47" i="4"/>
  <c r="M40" i="4"/>
  <c r="J35" i="4"/>
  <c r="M35" i="4"/>
  <c r="H42" i="4"/>
  <c r="M46" i="4"/>
  <c r="AA28" i="4"/>
  <c r="J10" i="4"/>
  <c r="Z21" i="4" a="1"/>
  <c r="Z21" i="4" s="1"/>
  <c r="F45" i="4"/>
  <c r="Y43" i="4"/>
  <c r="V35" i="4"/>
  <c r="Q43" i="4"/>
  <c r="C40" i="4"/>
  <c r="D47" i="4"/>
  <c r="D41" i="4"/>
  <c r="R29" i="4"/>
  <c r="O40" i="4"/>
  <c r="O46" i="4"/>
  <c r="Y30" i="4"/>
  <c r="Q31" i="4"/>
  <c r="I29" i="4"/>
  <c r="R34" i="4"/>
  <c r="E45" i="4"/>
  <c r="O10" i="4"/>
  <c r="E43" i="4"/>
  <c r="P41" i="4"/>
  <c r="R19" i="4" s="1" a="1"/>
  <c r="R19" i="4" s="1"/>
  <c r="W34" i="4"/>
  <c r="U46" i="4"/>
  <c r="T29" i="4"/>
  <c r="S43" i="4"/>
  <c r="M41" i="4"/>
  <c r="Y48" i="4"/>
  <c r="J34" i="4"/>
  <c r="Y21" i="4" a="1"/>
  <c r="Y21" i="4" s="1"/>
  <c r="H43" i="4"/>
  <c r="M47" i="4"/>
  <c r="I48" i="4"/>
  <c r="P45" i="4"/>
  <c r="Y41" i="4"/>
  <c r="T41" i="4"/>
  <c r="E36" i="4"/>
  <c r="V10" i="4"/>
  <c r="I10" i="4"/>
  <c r="R48" i="4"/>
  <c r="R45" i="4"/>
  <c r="K33" i="4"/>
  <c r="Q10" i="4"/>
  <c r="T48" i="4"/>
  <c r="O21" i="4" a="1"/>
  <c r="O21" i="4" s="1"/>
  <c r="Z41" i="4"/>
  <c r="X30" i="4"/>
  <c r="Z45" i="4"/>
  <c r="V42" i="4"/>
  <c r="V41" i="4"/>
  <c r="AA45" i="4"/>
  <c r="AA43" i="4"/>
  <c r="N33" i="4"/>
  <c r="P10" i="4"/>
  <c r="P30" i="4"/>
  <c r="Z40" i="4"/>
  <c r="X10" i="4"/>
  <c r="L45" i="4"/>
  <c r="Z48" i="4"/>
  <c r="Q21" i="4" a="1"/>
  <c r="Q21" i="4" s="1"/>
  <c r="W21" i="4" a="1"/>
  <c r="W21" i="4" s="1"/>
  <c r="M21" i="4" a="1"/>
  <c r="M21" i="4" s="1"/>
  <c r="V43" i="4"/>
  <c r="W48" i="4"/>
  <c r="AA48" i="4"/>
  <c r="G40" i="4"/>
  <c r="AA40" i="4"/>
  <c r="K34" i="4"/>
  <c r="M11" i="4" s="1" a="1"/>
  <c r="M11" i="4" s="1"/>
  <c r="N36" i="4"/>
  <c r="H35" i="4"/>
  <c r="N10" i="4"/>
  <c r="W42" i="4"/>
  <c r="L21" i="4" a="1"/>
  <c r="L21" i="4" s="1"/>
  <c r="L42" i="4"/>
  <c r="F18" i="4"/>
  <c r="Z43" i="4"/>
  <c r="X29" i="4"/>
  <c r="R21" i="4" a="1"/>
  <c r="R21" i="4" s="1"/>
  <c r="W46" i="4"/>
  <c r="AA46" i="4"/>
  <c r="J42" i="4"/>
  <c r="J47" i="4"/>
  <c r="AA21" i="4" a="1"/>
  <c r="AA21" i="4" s="1"/>
  <c r="L317" i="2"/>
  <c r="M40" i="2" s="1"/>
  <c r="O40" i="2" s="1"/>
  <c r="P317" i="2"/>
  <c r="Q266" i="2" s="1"/>
  <c r="C15" i="4"/>
  <c r="C24" i="1" s="1"/>
  <c r="AB13" i="4"/>
  <c r="C23" i="4"/>
  <c r="C33" i="1" s="1"/>
  <c r="M3" i="5"/>
  <c r="M4" i="5" s="1"/>
  <c r="M5" i="5" s="1"/>
  <c r="M6" i="5" s="1"/>
  <c r="M7" i="5" s="1"/>
  <c r="M8" i="5" s="1"/>
  <c r="M9" i="5" s="1"/>
  <c r="M10" i="5" s="1"/>
  <c r="M11" i="5" s="1"/>
  <c r="M12" i="5" s="1"/>
  <c r="M13" i="5" s="1"/>
  <c r="AB14" i="4"/>
  <c r="H11" i="4" a="1"/>
  <c r="H11" i="4" s="1"/>
  <c r="T19" i="4" a="1"/>
  <c r="T19" i="4" s="1"/>
  <c r="G12" i="4" l="1" a="1"/>
  <c r="G12" i="4" s="1"/>
  <c r="G15" i="4" s="1"/>
  <c r="G24" i="1" s="1"/>
  <c r="I11" i="4" a="1"/>
  <c r="I11" i="4" s="1"/>
  <c r="J12" i="4" a="1"/>
  <c r="J12" i="4" s="1"/>
  <c r="M277" i="2"/>
  <c r="N277" i="2" s="1"/>
  <c r="Z11" i="4" a="1"/>
  <c r="Z11" i="4" s="1"/>
  <c r="O12" i="4" a="1"/>
  <c r="O12" i="4" s="1"/>
  <c r="P11" i="4" a="1"/>
  <c r="P11" i="4" s="1"/>
  <c r="Q121" i="2"/>
  <c r="M39" i="2"/>
  <c r="O39" i="2" s="1"/>
  <c r="M74" i="2"/>
  <c r="N20" i="4" a="1"/>
  <c r="N20" i="4" s="1"/>
  <c r="AA12" i="4" a="1"/>
  <c r="AA12" i="4" s="1"/>
  <c r="O11" i="4" a="1"/>
  <c r="O11" i="4" s="1"/>
  <c r="V11" i="4" a="1"/>
  <c r="V11" i="4" s="1"/>
  <c r="I12" i="4" a="1"/>
  <c r="I12" i="4" s="1"/>
  <c r="K19" i="4" a="1"/>
  <c r="K19" i="4" s="1"/>
  <c r="K23" i="4" s="1"/>
  <c r="K33" i="1" s="1"/>
  <c r="U11" i="4" a="1"/>
  <c r="U11" i="4" s="1"/>
  <c r="U15" i="4" s="1"/>
  <c r="U24" i="1" s="1"/>
  <c r="O20" i="4" a="1"/>
  <c r="O20" i="4" s="1"/>
  <c r="I19" i="4" a="1"/>
  <c r="I19" i="4" s="1"/>
  <c r="L12" i="4" a="1"/>
  <c r="L12" i="4" s="1"/>
  <c r="M12" i="4" a="1"/>
  <c r="M12" i="4" s="1"/>
  <c r="M15" i="4" s="1"/>
  <c r="M24" i="1" s="1"/>
  <c r="Y11" i="4" a="1"/>
  <c r="Y11" i="4" s="1"/>
  <c r="Y19" i="4" a="1"/>
  <c r="Y19" i="4" s="1"/>
  <c r="Y23" i="4" s="1"/>
  <c r="Y33" i="1" s="1"/>
  <c r="H20" i="4" a="1"/>
  <c r="H20" i="4" s="1"/>
  <c r="Q20" i="4" a="1"/>
  <c r="Q20" i="4" s="1"/>
  <c r="Q23" i="4" s="1"/>
  <c r="Q33" i="1" s="1"/>
  <c r="Y12" i="4" a="1"/>
  <c r="Y12" i="4" s="1"/>
  <c r="R20" i="4" a="1"/>
  <c r="R20" i="4" s="1"/>
  <c r="R11" i="4" a="1"/>
  <c r="R11" i="4" s="1"/>
  <c r="U19" i="4" a="1"/>
  <c r="U19" i="4" s="1"/>
  <c r="V12" i="4" a="1"/>
  <c r="V12" i="4" s="1"/>
  <c r="Z12" i="4" a="1"/>
  <c r="Z12" i="4" s="1"/>
  <c r="J20" i="4" a="1"/>
  <c r="J20" i="4" s="1"/>
  <c r="J23" i="4" s="1"/>
  <c r="J33" i="1" s="1"/>
  <c r="AA19" i="4" a="1"/>
  <c r="AA19" i="4" s="1"/>
  <c r="AA23" i="4" s="1"/>
  <c r="AA33" i="1" s="1"/>
  <c r="W20" i="4" a="1"/>
  <c r="W20" i="4" s="1"/>
  <c r="AA20" i="4" a="1"/>
  <c r="AA20" i="4" s="1"/>
  <c r="X12" i="4" a="1"/>
  <c r="X12" i="4" s="1"/>
  <c r="G20" i="4" a="1"/>
  <c r="G20" i="4" s="1"/>
  <c r="G19" i="4" a="1"/>
  <c r="G19" i="4" s="1"/>
  <c r="E19" i="4" a="1"/>
  <c r="E19" i="4" s="1"/>
  <c r="E23" i="4" s="1"/>
  <c r="E33" i="1" s="1"/>
  <c r="N19" i="4" a="1"/>
  <c r="N19" i="4" s="1"/>
  <c r="N23" i="4" s="1"/>
  <c r="N33" i="1" s="1"/>
  <c r="AB18" i="4"/>
  <c r="K20" i="4" a="1"/>
  <c r="K20" i="4" s="1"/>
  <c r="F11" i="4" a="1"/>
  <c r="F11" i="4" s="1"/>
  <c r="F15" i="4" s="1"/>
  <c r="F24" i="1" s="1"/>
  <c r="U12" i="4" a="1"/>
  <c r="U12" i="4" s="1"/>
  <c r="E11" i="4" a="1"/>
  <c r="E11" i="4" s="1"/>
  <c r="E15" i="4" s="1"/>
  <c r="E24" i="1" s="1"/>
  <c r="V19" i="4" a="1"/>
  <c r="V19" i="4" s="1"/>
  <c r="U20" i="4" a="1"/>
  <c r="U20" i="4" s="1"/>
  <c r="Q19" i="4" a="1"/>
  <c r="Q19" i="4" s="1"/>
  <c r="W11" i="4" a="1"/>
  <c r="W11" i="4" s="1"/>
  <c r="X19" i="4" a="1"/>
  <c r="X19" i="4" s="1"/>
  <c r="P19" i="4" a="1"/>
  <c r="P19" i="4" s="1"/>
  <c r="F19" i="4" a="1"/>
  <c r="F19" i="4" s="1"/>
  <c r="F23" i="4" s="1"/>
  <c r="F33" i="1" s="1"/>
  <c r="T11" i="4" a="1"/>
  <c r="T11" i="4" s="1"/>
  <c r="L20" i="4" a="1"/>
  <c r="L20" i="4" s="1"/>
  <c r="L23" i="4" s="1"/>
  <c r="L33" i="1" s="1"/>
  <c r="I20" i="4" a="1"/>
  <c r="I20" i="4" s="1"/>
  <c r="M19" i="4" a="1"/>
  <c r="M19" i="4" s="1"/>
  <c r="P20" i="4" a="1"/>
  <c r="P20" i="4" s="1"/>
  <c r="P23" i="4" s="1"/>
  <c r="P33" i="1" s="1"/>
  <c r="W12" i="4" a="1"/>
  <c r="W12" i="4" s="1"/>
  <c r="Z19" i="4" a="1"/>
  <c r="Z19" i="4" s="1"/>
  <c r="T20" i="4" a="1"/>
  <c r="T20" i="4" s="1"/>
  <c r="T23" i="4" s="1"/>
  <c r="T33" i="1" s="1"/>
  <c r="V20" i="4" a="1"/>
  <c r="V20" i="4" s="1"/>
  <c r="O19" i="4" a="1"/>
  <c r="O19" i="4" s="1"/>
  <c r="O23" i="4" s="1"/>
  <c r="O33" i="1" s="1"/>
  <c r="S11" i="4" a="1"/>
  <c r="S11" i="4" s="1"/>
  <c r="H19" i="4" a="1"/>
  <c r="H19" i="4" s="1"/>
  <c r="Z15" i="4"/>
  <c r="Z24" i="1" s="1"/>
  <c r="AB21" i="4"/>
  <c r="S20" i="4" a="1"/>
  <c r="S20" i="4" s="1"/>
  <c r="S23" i="4" s="1"/>
  <c r="S33" i="1" s="1"/>
  <c r="M20" i="4" a="1"/>
  <c r="M20" i="4" s="1"/>
  <c r="M23" i="4" s="1"/>
  <c r="M33" i="1" s="1"/>
  <c r="S12" i="4" a="1"/>
  <c r="S12" i="4" s="1"/>
  <c r="T12" i="4" a="1"/>
  <c r="T12" i="4" s="1"/>
  <c r="K11" i="4" a="1"/>
  <c r="K11" i="4" s="1"/>
  <c r="K15" i="4" s="1"/>
  <c r="K24" i="1" s="1"/>
  <c r="Z20" i="4" a="1"/>
  <c r="Z20" i="4" s="1"/>
  <c r="X20" i="4" a="1"/>
  <c r="X20" i="4" s="1"/>
  <c r="Q22" i="2"/>
  <c r="H12" i="4" a="1"/>
  <c r="H12" i="4" s="1"/>
  <c r="J11" i="4" a="1"/>
  <c r="J11" i="4" s="1"/>
  <c r="J15" i="4" s="1"/>
  <c r="J24" i="1" s="1"/>
  <c r="W19" i="4" a="1"/>
  <c r="W19" i="4" s="1"/>
  <c r="AB10" i="4"/>
  <c r="Y20" i="4" a="1"/>
  <c r="Y20" i="4" s="1"/>
  <c r="X11" i="4" a="1"/>
  <c r="X11" i="4" s="1"/>
  <c r="X15" i="4" s="1"/>
  <c r="X24" i="1" s="1"/>
  <c r="Q12" i="4" a="1"/>
  <c r="Q12" i="4" s="1"/>
  <c r="Q15" i="4" s="1"/>
  <c r="Q24" i="1" s="1"/>
  <c r="M220" i="2"/>
  <c r="M193" i="2"/>
  <c r="M232" i="2"/>
  <c r="N232" i="2" s="1"/>
  <c r="M150" i="2"/>
  <c r="M212" i="2"/>
  <c r="M186" i="2"/>
  <c r="M231" i="2"/>
  <c r="N231" i="2" s="1"/>
  <c r="L15" i="4"/>
  <c r="L24" i="1" s="1"/>
  <c r="M107" i="2"/>
  <c r="Q170" i="2"/>
  <c r="Q160" i="2"/>
  <c r="Q293" i="2"/>
  <c r="M254" i="2"/>
  <c r="N254" i="2" s="1"/>
  <c r="N12" i="4" a="1"/>
  <c r="N12" i="4" s="1"/>
  <c r="N15" i="4" s="1"/>
  <c r="N24" i="1" s="1"/>
  <c r="P12" i="4" a="1"/>
  <c r="P12" i="4" s="1"/>
  <c r="P15" i="4" s="1"/>
  <c r="P24" i="1" s="1"/>
  <c r="M152" i="2"/>
  <c r="R12" i="4" a="1"/>
  <c r="R12" i="4" s="1"/>
  <c r="Q140" i="2"/>
  <c r="M307" i="2"/>
  <c r="N307" i="2" s="1"/>
  <c r="M295" i="2"/>
  <c r="N295" i="2" s="1"/>
  <c r="M195" i="2"/>
  <c r="M75" i="2"/>
  <c r="M122" i="2"/>
  <c r="M304" i="2"/>
  <c r="N304" i="2" s="1"/>
  <c r="I15" i="4"/>
  <c r="I24" i="1" s="1"/>
  <c r="H23" i="4"/>
  <c r="H33" i="1" s="1"/>
  <c r="M284" i="2"/>
  <c r="N284" i="2" s="1"/>
  <c r="M309" i="2"/>
  <c r="N309" i="2" s="1"/>
  <c r="M41" i="2"/>
  <c r="O41" i="2" s="1"/>
  <c r="M111" i="2"/>
  <c r="Q151" i="2"/>
  <c r="M11" i="2"/>
  <c r="O11" i="2" s="1"/>
  <c r="M300" i="2"/>
  <c r="N300" i="2" s="1"/>
  <c r="Q217" i="2"/>
  <c r="M188" i="2"/>
  <c r="M240" i="2"/>
  <c r="N240" i="2" s="1"/>
  <c r="M30" i="2"/>
  <c r="O30" i="2" s="1"/>
  <c r="M291" i="2"/>
  <c r="N291" i="2" s="1"/>
  <c r="Q278" i="2"/>
  <c r="Q94" i="2"/>
  <c r="Q180" i="2"/>
  <c r="M233" i="2"/>
  <c r="N233" i="2" s="1"/>
  <c r="Q144" i="2"/>
  <c r="Q174" i="2"/>
  <c r="M65" i="2"/>
  <c r="Q185" i="2"/>
  <c r="Q311" i="2"/>
  <c r="M288" i="2"/>
  <c r="N288" i="2" s="1"/>
  <c r="M303" i="2"/>
  <c r="N303" i="2" s="1"/>
  <c r="M66" i="2"/>
  <c r="M110" i="2"/>
  <c r="M44" i="2"/>
  <c r="O44" i="2" s="1"/>
  <c r="Q108" i="2"/>
  <c r="Q116" i="2"/>
  <c r="Q92" i="2"/>
  <c r="Q29" i="2"/>
  <c r="Q53" i="2"/>
  <c r="Q122" i="2"/>
  <c r="Q142" i="2"/>
  <c r="Q222" i="2"/>
  <c r="Q74" i="2"/>
  <c r="Q253" i="2"/>
  <c r="Q138" i="2"/>
  <c r="Q69" i="2"/>
  <c r="Q30" i="2"/>
  <c r="Q302" i="2"/>
  <c r="Q268" i="2"/>
  <c r="Q231" i="2"/>
  <c r="Q32" i="2"/>
  <c r="Q101" i="2"/>
  <c r="Q297" i="2"/>
  <c r="Q117" i="2"/>
  <c r="Q194" i="2"/>
  <c r="Q291" i="2"/>
  <c r="Q81" i="2"/>
  <c r="Q199" i="2"/>
  <c r="Q84" i="2"/>
  <c r="Q235" i="2"/>
  <c r="Q183" i="2"/>
  <c r="Q242" i="2"/>
  <c r="Q35" i="2"/>
  <c r="Q93" i="2"/>
  <c r="Q114" i="2"/>
  <c r="Q155" i="2"/>
  <c r="Q127" i="2"/>
  <c r="Q44" i="2"/>
  <c r="Q161" i="2"/>
  <c r="Q50" i="2"/>
  <c r="Q313" i="2"/>
  <c r="Q9" i="2"/>
  <c r="Q244" i="2"/>
  <c r="Q88" i="2"/>
  <c r="Q77" i="2"/>
  <c r="Q145" i="2"/>
  <c r="Q314" i="2"/>
  <c r="Q286" i="2"/>
  <c r="Q271" i="2"/>
  <c r="Q67" i="2"/>
  <c r="Q57" i="2"/>
  <c r="Q33" i="2"/>
  <c r="Q283" i="2"/>
  <c r="Q300" i="2"/>
  <c r="Q164" i="2"/>
  <c r="Q87" i="2"/>
  <c r="Q237" i="2"/>
  <c r="Q261" i="2"/>
  <c r="Q285" i="2"/>
  <c r="AA15" i="4"/>
  <c r="AA24" i="1" s="1"/>
  <c r="M157" i="2"/>
  <c r="M190" i="2"/>
  <c r="M242" i="2"/>
  <c r="N242" i="2" s="1"/>
  <c r="M99" i="2"/>
  <c r="M236" i="2"/>
  <c r="N236" i="2" s="1"/>
  <c r="M155" i="2"/>
  <c r="M310" i="2"/>
  <c r="N310" i="2" s="1"/>
  <c r="M260" i="2"/>
  <c r="N260" i="2" s="1"/>
  <c r="M270" i="2"/>
  <c r="N270" i="2" s="1"/>
  <c r="M305" i="2"/>
  <c r="N305" i="2" s="1"/>
  <c r="M123" i="2"/>
  <c r="M171" i="2"/>
  <c r="M106" i="2"/>
  <c r="M258" i="2"/>
  <c r="N258" i="2" s="1"/>
  <c r="M10" i="2"/>
  <c r="O10" i="2" s="1"/>
  <c r="M267" i="2"/>
  <c r="N267" i="2" s="1"/>
  <c r="M116" i="2"/>
  <c r="M259" i="2"/>
  <c r="N259" i="2" s="1"/>
  <c r="M61" i="2"/>
  <c r="M225" i="2"/>
  <c r="M12" i="2"/>
  <c r="O12" i="2" s="1"/>
  <c r="M64" i="2"/>
  <c r="M292" i="2"/>
  <c r="N292" i="2" s="1"/>
  <c r="M126" i="2"/>
  <c r="M285" i="2"/>
  <c r="N285" i="2" s="1"/>
  <c r="M224" i="2"/>
  <c r="M287" i="2"/>
  <c r="N287" i="2" s="1"/>
  <c r="M158" i="2"/>
  <c r="M118" i="2"/>
  <c r="M298" i="2"/>
  <c r="N298" i="2" s="1"/>
  <c r="M219" i="2"/>
  <c r="M234" i="2"/>
  <c r="N234" i="2" s="1"/>
  <c r="M37" i="2"/>
  <c r="O37" i="2" s="1"/>
  <c r="M47" i="2"/>
  <c r="O47" i="2" s="1"/>
  <c r="M244" i="2"/>
  <c r="N244" i="2" s="1"/>
  <c r="M252" i="2"/>
  <c r="N252" i="2" s="1"/>
  <c r="M131" i="2"/>
  <c r="M253" i="2"/>
  <c r="N253" i="2" s="1"/>
  <c r="M113" i="2"/>
  <c r="M112" i="2"/>
  <c r="M269" i="2"/>
  <c r="N269" i="2" s="1"/>
  <c r="M78" i="2"/>
  <c r="M302" i="2"/>
  <c r="N302" i="2" s="1"/>
  <c r="M151" i="2"/>
  <c r="M263" i="2"/>
  <c r="N263" i="2" s="1"/>
  <c r="M198" i="2"/>
  <c r="M221" i="2"/>
  <c r="M204" i="2"/>
  <c r="M82" i="2"/>
  <c r="M185" i="2"/>
  <c r="M156" i="2"/>
  <c r="M14" i="2"/>
  <c r="O14" i="2" s="1"/>
  <c r="M115" i="2"/>
  <c r="M214" i="2"/>
  <c r="M52" i="2"/>
  <c r="M119" i="2"/>
  <c r="Q76" i="2"/>
  <c r="M274" i="2"/>
  <c r="N274" i="2" s="1"/>
  <c r="M133" i="2"/>
  <c r="M36" i="2"/>
  <c r="O36" i="2" s="1"/>
  <c r="M251" i="2"/>
  <c r="N251" i="2" s="1"/>
  <c r="M104" i="2"/>
  <c r="Q34" i="2"/>
  <c r="M265" i="2"/>
  <c r="N265" i="2" s="1"/>
  <c r="Q173" i="2"/>
  <c r="M109" i="2"/>
  <c r="M9" i="2"/>
  <c r="O9" i="2" s="1"/>
  <c r="M222" i="2"/>
  <c r="M235" i="2"/>
  <c r="N235" i="2" s="1"/>
  <c r="M183" i="2"/>
  <c r="M268" i="2"/>
  <c r="N268" i="2" s="1"/>
  <c r="M136" i="2"/>
  <c r="M262" i="2"/>
  <c r="N262" i="2" s="1"/>
  <c r="M24" i="2"/>
  <c r="O24" i="2" s="1"/>
  <c r="M279" i="2"/>
  <c r="N279" i="2" s="1"/>
  <c r="M43" i="2"/>
  <c r="O43" i="2" s="1"/>
  <c r="M313" i="2"/>
  <c r="N313" i="2" s="1"/>
  <c r="M129" i="2"/>
  <c r="M312" i="2"/>
  <c r="N312" i="2" s="1"/>
  <c r="M77" i="2"/>
  <c r="M181" i="2"/>
  <c r="M223" i="2"/>
  <c r="M174" i="2"/>
  <c r="M273" i="2"/>
  <c r="N273" i="2" s="1"/>
  <c r="M145" i="2"/>
  <c r="M13" i="2"/>
  <c r="O13" i="2" s="1"/>
  <c r="M203" i="2"/>
  <c r="M17" i="2"/>
  <c r="O17" i="2" s="1"/>
  <c r="M207" i="2"/>
  <c r="M27" i="2"/>
  <c r="O27" i="2" s="1"/>
  <c r="M137" i="2"/>
  <c r="M54" i="2"/>
  <c r="M91" i="2"/>
  <c r="M167" i="2"/>
  <c r="M100" i="2"/>
  <c r="M147" i="2"/>
  <c r="M46" i="2"/>
  <c r="O46" i="2" s="1"/>
  <c r="M144" i="2"/>
  <c r="M197" i="2"/>
  <c r="M229" i="2"/>
  <c r="N229" i="2" s="1"/>
  <c r="M143" i="2"/>
  <c r="M154" i="2"/>
  <c r="M72" i="2"/>
  <c r="M28" i="2"/>
  <c r="O28" i="2" s="1"/>
  <c r="M63" i="2"/>
  <c r="M166" i="2"/>
  <c r="M296" i="2"/>
  <c r="N296" i="2" s="1"/>
  <c r="M164" i="2"/>
  <c r="M184" i="2"/>
  <c r="M280" i="2"/>
  <c r="N280" i="2" s="1"/>
  <c r="M148" i="2"/>
  <c r="M45" i="2"/>
  <c r="O45" i="2" s="1"/>
  <c r="M20" i="2"/>
  <c r="O20" i="2" s="1"/>
  <c r="M71" i="2"/>
  <c r="M227" i="2"/>
  <c r="Q250" i="2"/>
  <c r="M56" i="2"/>
  <c r="M89" i="2"/>
  <c r="M132" i="2"/>
  <c r="M278" i="2"/>
  <c r="N278" i="2" s="1"/>
  <c r="M8" i="2"/>
  <c r="O8" i="2" s="1"/>
  <c r="M196" i="2"/>
  <c r="M169" i="2"/>
  <c r="M159" i="2"/>
  <c r="M31" i="2"/>
  <c r="O31" i="2" s="1"/>
  <c r="M194" i="2"/>
  <c r="M38" i="2"/>
  <c r="O38" i="2" s="1"/>
  <c r="R15" i="4"/>
  <c r="R24" i="1" s="1"/>
  <c r="Q16" i="2"/>
  <c r="Q165" i="2"/>
  <c r="Q294" i="2"/>
  <c r="M276" i="2"/>
  <c r="N276" i="2" s="1"/>
  <c r="M200" i="2"/>
  <c r="M120" i="2"/>
  <c r="M168" i="2"/>
  <c r="M149" i="2"/>
  <c r="M51" i="2"/>
  <c r="M50" i="2"/>
  <c r="M237" i="2"/>
  <c r="N237" i="2" s="1"/>
  <c r="M87" i="2"/>
  <c r="M101" i="2"/>
  <c r="M32" i="2"/>
  <c r="O32" i="2" s="1"/>
  <c r="M218" i="2"/>
  <c r="M299" i="2"/>
  <c r="N299" i="2" s="1"/>
  <c r="M114" i="2"/>
  <c r="M213" i="2"/>
  <c r="M271" i="2"/>
  <c r="N271" i="2" s="1"/>
  <c r="M286" i="2"/>
  <c r="N286" i="2" s="1"/>
  <c r="M69" i="2"/>
  <c r="M19" i="2"/>
  <c r="O19" i="2" s="1"/>
  <c r="M314" i="2"/>
  <c r="N314" i="2" s="1"/>
  <c r="M22" i="2"/>
  <c r="O22" i="2" s="1"/>
  <c r="M125" i="2"/>
  <c r="M84" i="2"/>
  <c r="M88" i="2"/>
  <c r="M140" i="2"/>
  <c r="M179" i="2"/>
  <c r="M53" i="2"/>
  <c r="M272" i="2"/>
  <c r="N272" i="2" s="1"/>
  <c r="M248" i="2"/>
  <c r="N248" i="2" s="1"/>
  <c r="M18" i="2"/>
  <c r="O18" i="2" s="1"/>
  <c r="M79" i="2"/>
  <c r="M261" i="2"/>
  <c r="N261" i="2" s="1"/>
  <c r="M139" i="2"/>
  <c r="M42" i="2"/>
  <c r="O42" i="2" s="1"/>
  <c r="M161" i="2"/>
  <c r="M297" i="2"/>
  <c r="N297" i="2" s="1"/>
  <c r="M293" i="2"/>
  <c r="N293" i="2" s="1"/>
  <c r="M127" i="2"/>
  <c r="M283" i="2"/>
  <c r="N283" i="2" s="1"/>
  <c r="M33" i="2"/>
  <c r="O33" i="2" s="1"/>
  <c r="M160" i="2"/>
  <c r="R4" i="2" s="1"/>
  <c r="R179" i="2" s="1"/>
  <c r="M35" i="2"/>
  <c r="O35" i="2" s="1"/>
  <c r="M121" i="2"/>
  <c r="M182" i="2"/>
  <c r="M170" i="2"/>
  <c r="M138" i="2"/>
  <c r="M275" i="2"/>
  <c r="N275" i="2" s="1"/>
  <c r="M216" i="2"/>
  <c r="M180" i="2"/>
  <c r="M245" i="2"/>
  <c r="N245" i="2" s="1"/>
  <c r="M199" i="2"/>
  <c r="M94" i="2"/>
  <c r="M191" i="2"/>
  <c r="M192" i="2"/>
  <c r="M226" i="2"/>
  <c r="M210" i="2"/>
  <c r="M187" i="2"/>
  <c r="M256" i="2"/>
  <c r="N256" i="2" s="1"/>
  <c r="M130" i="2"/>
  <c r="M209" i="2"/>
  <c r="M301" i="2"/>
  <c r="N301" i="2" s="1"/>
  <c r="M230" i="2"/>
  <c r="N230" i="2" s="1"/>
  <c r="M308" i="2"/>
  <c r="N308" i="2" s="1"/>
  <c r="M249" i="2"/>
  <c r="N249" i="2" s="1"/>
  <c r="M103" i="2"/>
  <c r="M86" i="2"/>
  <c r="M215" i="2"/>
  <c r="M59" i="2"/>
  <c r="M128" i="2"/>
  <c r="M255" i="2"/>
  <c r="N255" i="2" s="1"/>
  <c r="M141" i="2"/>
  <c r="M80" i="2"/>
  <c r="M98" i="2"/>
  <c r="M68" i="2"/>
  <c r="M217" i="2"/>
  <c r="M162" i="2"/>
  <c r="M311" i="2"/>
  <c r="N311" i="2" s="1"/>
  <c r="M205" i="2"/>
  <c r="M21" i="2"/>
  <c r="O21" i="2" s="1"/>
  <c r="M178" i="2"/>
  <c r="M48" i="2"/>
  <c r="O48" i="2" s="1"/>
  <c r="M23" i="2"/>
  <c r="O23" i="2" s="1"/>
  <c r="M93" i="2"/>
  <c r="M58" i="2"/>
  <c r="M67" i="2"/>
  <c r="M60" i="2"/>
  <c r="M239" i="2"/>
  <c r="N239" i="2" s="1"/>
  <c r="M201" i="2"/>
  <c r="M243" i="2"/>
  <c r="N243" i="2" s="1"/>
  <c r="M134" i="2"/>
  <c r="M25" i="2"/>
  <c r="O25" i="2" s="1"/>
  <c r="M105" i="2"/>
  <c r="R23" i="4"/>
  <c r="R33" i="1" s="1"/>
  <c r="Q226" i="2"/>
  <c r="Q85" i="2"/>
  <c r="Q315" i="2"/>
  <c r="Q225" i="2"/>
  <c r="Q298" i="2"/>
  <c r="Q31" i="2"/>
  <c r="Q70" i="2"/>
  <c r="Q305" i="2"/>
  <c r="Q82" i="2"/>
  <c r="Q152" i="2"/>
  <c r="Q83" i="2"/>
  <c r="Q65" i="2"/>
  <c r="Q299" i="2"/>
  <c r="Q154" i="2"/>
  <c r="Q229" i="2"/>
  <c r="Q232" i="2"/>
  <c r="Q73" i="2"/>
  <c r="Q182" i="2"/>
  <c r="Q55" i="2"/>
  <c r="Q163" i="2"/>
  <c r="Q125" i="2"/>
  <c r="Q149" i="2"/>
  <c r="Q61" i="2"/>
  <c r="Q124" i="2"/>
  <c r="Q308" i="2"/>
  <c r="Q247" i="2"/>
  <c r="M238" i="2"/>
  <c r="N238" i="2" s="1"/>
  <c r="M49" i="2"/>
  <c r="O49" i="2" s="1"/>
  <c r="M228" i="2"/>
  <c r="N228" i="2" s="1"/>
  <c r="M241" i="2"/>
  <c r="N241" i="2" s="1"/>
  <c r="M211" i="2"/>
  <c r="M142" i="2"/>
  <c r="M102" i="2"/>
  <c r="M163" i="2"/>
  <c r="M55" i="2"/>
  <c r="M73" i="2"/>
  <c r="M57" i="2"/>
  <c r="M83" i="2"/>
  <c r="M70" i="2"/>
  <c r="M117" i="2"/>
  <c r="M108" i="2"/>
  <c r="M208" i="2"/>
  <c r="M282" i="2"/>
  <c r="N282" i="2" s="1"/>
  <c r="Q24" i="2"/>
  <c r="Q115" i="2"/>
  <c r="Q212" i="2"/>
  <c r="Q139" i="2"/>
  <c r="Q17" i="2"/>
  <c r="Q141" i="2"/>
  <c r="Q38" i="2"/>
  <c r="Q255" i="2"/>
  <c r="Q168" i="2"/>
  <c r="Q128" i="2"/>
  <c r="Q188" i="2"/>
  <c r="Q304" i="2"/>
  <c r="Q215" i="2"/>
  <c r="Q86" i="2"/>
  <c r="Q18" i="2"/>
  <c r="Q207" i="2"/>
  <c r="Q120" i="2"/>
  <c r="Q282" i="2"/>
  <c r="Q240" i="2"/>
  <c r="Q248" i="2"/>
  <c r="Q251" i="2"/>
  <c r="Q40" i="2"/>
  <c r="Q43" i="2"/>
  <c r="Q272" i="2"/>
  <c r="Q7" i="2"/>
  <c r="Q257" i="2"/>
  <c r="Q306" i="2"/>
  <c r="Q209" i="2"/>
  <c r="Q177" i="2"/>
  <c r="Q290" i="2"/>
  <c r="Q130" i="2"/>
  <c r="Q281" i="2"/>
  <c r="Q265" i="2"/>
  <c r="Q26" i="2"/>
  <c r="Q256" i="2"/>
  <c r="Q246" i="2"/>
  <c r="Q96" i="2"/>
  <c r="Q15" i="2"/>
  <c r="Q90" i="2"/>
  <c r="Q62" i="2"/>
  <c r="Q210" i="2"/>
  <c r="Q289" i="2"/>
  <c r="Q135" i="2"/>
  <c r="Q241" i="2"/>
  <c r="Q192" i="2"/>
  <c r="Q27" i="2"/>
  <c r="Q220" i="2"/>
  <c r="Q191" i="2"/>
  <c r="Q137" i="2"/>
  <c r="Q107" i="2"/>
  <c r="Q54" i="2"/>
  <c r="Q132" i="2"/>
  <c r="Q179" i="2"/>
  <c r="Q284" i="2"/>
  <c r="Q287" i="2"/>
  <c r="Q91" i="2"/>
  <c r="Q245" i="2"/>
  <c r="Q102" i="2"/>
  <c r="Q105" i="2"/>
  <c r="Q25" i="2"/>
  <c r="Q100" i="2"/>
  <c r="Q134" i="2"/>
  <c r="Q158" i="2"/>
  <c r="Q181" i="2"/>
  <c r="Q41" i="2"/>
  <c r="Q243" i="2"/>
  <c r="Q196" i="2"/>
  <c r="Q269" i="2"/>
  <c r="Q201" i="2"/>
  <c r="Q239" i="2"/>
  <c r="Q111" i="2"/>
  <c r="Q13" i="2"/>
  <c r="Q60" i="2"/>
  <c r="Q169" i="2"/>
  <c r="Q58" i="2"/>
  <c r="Q143" i="2"/>
  <c r="R171" i="2"/>
  <c r="R38" i="2"/>
  <c r="Q23" i="2"/>
  <c r="Q118" i="2"/>
  <c r="Q263" i="2"/>
  <c r="Q159" i="2"/>
  <c r="Q72" i="2"/>
  <c r="Q11" i="2"/>
  <c r="Q48" i="2"/>
  <c r="Q136" i="2"/>
  <c r="Q221" i="2"/>
  <c r="Q178" i="2"/>
  <c r="Q63" i="2"/>
  <c r="Q218" i="2"/>
  <c r="Q270" i="2"/>
  <c r="Q150" i="2"/>
  <c r="Q21" i="2"/>
  <c r="Q203" i="2"/>
  <c r="Q195" i="2"/>
  <c r="Q205" i="2"/>
  <c r="Q262" i="2"/>
  <c r="Q162" i="2"/>
  <c r="Q258" i="2"/>
  <c r="Q10" i="2"/>
  <c r="Q214" i="2"/>
  <c r="Q51" i="2"/>
  <c r="Q267" i="2"/>
  <c r="Q79" i="2"/>
  <c r="Q279" i="2"/>
  <c r="Q184" i="2"/>
  <c r="Q119" i="2"/>
  <c r="Q59" i="2"/>
  <c r="M206" i="2"/>
  <c r="M76" i="2"/>
  <c r="Q254" i="2"/>
  <c r="Q274" i="2"/>
  <c r="Q75" i="2"/>
  <c r="M92" i="2"/>
  <c r="Q303" i="2"/>
  <c r="M175" i="2"/>
  <c r="Q12" i="2"/>
  <c r="Q45" i="2"/>
  <c r="M315" i="2"/>
  <c r="N315" i="2" s="1"/>
  <c r="M124" i="2"/>
  <c r="M172" i="2"/>
  <c r="Q249" i="2"/>
  <c r="Q20" i="2"/>
  <c r="M97" i="2"/>
  <c r="Q277" i="2"/>
  <c r="Q71" i="2"/>
  <c r="Q200" i="2"/>
  <c r="M264" i="2"/>
  <c r="N264" i="2" s="1"/>
  <c r="Q230" i="2"/>
  <c r="M29" i="2"/>
  <c r="O29" i="2" s="1"/>
  <c r="M5" i="2"/>
  <c r="O5" i="2" s="1"/>
  <c r="Q5" i="2"/>
  <c r="Q301" i="2"/>
  <c r="M7" i="2"/>
  <c r="O7" i="2" s="1"/>
  <c r="M202" i="2"/>
  <c r="M257" i="2"/>
  <c r="N257" i="2" s="1"/>
  <c r="Q146" i="2"/>
  <c r="Q189" i="2"/>
  <c r="M306" i="2"/>
  <c r="N306" i="2" s="1"/>
  <c r="M177" i="2"/>
  <c r="M95" i="2"/>
  <c r="M290" i="2"/>
  <c r="N290" i="2" s="1"/>
  <c r="M281" i="2"/>
  <c r="N281" i="2" s="1"/>
  <c r="M176" i="2"/>
  <c r="M26" i="2"/>
  <c r="O26" i="2" s="1"/>
  <c r="Q238" i="2"/>
  <c r="M246" i="2"/>
  <c r="N246" i="2" s="1"/>
  <c r="M96" i="2"/>
  <c r="M153" i="2"/>
  <c r="Q4" i="2"/>
  <c r="Q56" i="2"/>
  <c r="Q316" i="2"/>
  <c r="M15" i="2"/>
  <c r="O15" i="2" s="1"/>
  <c r="M90" i="2"/>
  <c r="M62" i="2"/>
  <c r="Q66" i="2"/>
  <c r="M289" i="2"/>
  <c r="N289" i="2" s="1"/>
  <c r="M135" i="2"/>
  <c r="Q109" i="2"/>
  <c r="Q228" i="2"/>
  <c r="Q276" i="2"/>
  <c r="Q273" i="2"/>
  <c r="Q219" i="2"/>
  <c r="Q211" i="2"/>
  <c r="Q234" i="2"/>
  <c r="Q157" i="2"/>
  <c r="Q37" i="2"/>
  <c r="Q47" i="2"/>
  <c r="Q190" i="2"/>
  <c r="Q129" i="2"/>
  <c r="Q312" i="2"/>
  <c r="Q252" i="2"/>
  <c r="Q131" i="2"/>
  <c r="Q309" i="2"/>
  <c r="Q216" i="2"/>
  <c r="Q8" i="2"/>
  <c r="Q275" i="2"/>
  <c r="Q167" i="2"/>
  <c r="Q110" i="2"/>
  <c r="Q193" i="2"/>
  <c r="Q113" i="2"/>
  <c r="Q233" i="2"/>
  <c r="Q19" i="2"/>
  <c r="Q147" i="2"/>
  <c r="Q112" i="2"/>
  <c r="Q46" i="2"/>
  <c r="Q223" i="2"/>
  <c r="Q78" i="2"/>
  <c r="Q307" i="2"/>
  <c r="Q197" i="2"/>
  <c r="Q213" i="2"/>
  <c r="Q99" i="2"/>
  <c r="Q295" i="2"/>
  <c r="Q236" i="2"/>
  <c r="Q198" i="2"/>
  <c r="Q310" i="2"/>
  <c r="Q28" i="2"/>
  <c r="Q39" i="2"/>
  <c r="Q260" i="2"/>
  <c r="Q204" i="2"/>
  <c r="Q166" i="2"/>
  <c r="Q296" i="2"/>
  <c r="Q123" i="2"/>
  <c r="Q156" i="2"/>
  <c r="Q171" i="2"/>
  <c r="Q106" i="2"/>
  <c r="Q14" i="2"/>
  <c r="Q42" i="2"/>
  <c r="Q68" i="2"/>
  <c r="Q98" i="2"/>
  <c r="Q80" i="2"/>
  <c r="Q288" i="2"/>
  <c r="Q52" i="2"/>
  <c r="Q208" i="2"/>
  <c r="Q259" i="2"/>
  <c r="Q206" i="2"/>
  <c r="Q280" i="2"/>
  <c r="Q148" i="2"/>
  <c r="Q133" i="2"/>
  <c r="Q103" i="2"/>
  <c r="Q175" i="2"/>
  <c r="Q36" i="2"/>
  <c r="Q172" i="2"/>
  <c r="Q64" i="2"/>
  <c r="Q97" i="2"/>
  <c r="Q292" i="2"/>
  <c r="Q264" i="2"/>
  <c r="Q104" i="2"/>
  <c r="M81" i="2"/>
  <c r="M16" i="2"/>
  <c r="O16" i="2" s="1"/>
  <c r="Q227" i="2"/>
  <c r="Q202" i="2"/>
  <c r="M34" i="2"/>
  <c r="O34" i="2" s="1"/>
  <c r="M146" i="2"/>
  <c r="M189" i="2"/>
  <c r="Q186" i="2"/>
  <c r="Q126" i="2"/>
  <c r="Q95" i="2"/>
  <c r="M247" i="2"/>
  <c r="N247" i="2" s="1"/>
  <c r="M250" i="2"/>
  <c r="N250" i="2" s="1"/>
  <c r="Q176" i="2"/>
  <c r="M165" i="2"/>
  <c r="M85" i="2"/>
  <c r="M294" i="2"/>
  <c r="N294" i="2" s="1"/>
  <c r="Q153" i="2"/>
  <c r="M4" i="2"/>
  <c r="O4" i="2" s="1"/>
  <c r="Q49" i="2"/>
  <c r="Q187" i="2"/>
  <c r="M316" i="2"/>
  <c r="N316" i="2" s="1"/>
  <c r="M173" i="2"/>
  <c r="M266" i="2"/>
  <c r="N266" i="2" s="1"/>
  <c r="Q224" i="2"/>
  <c r="Q89" i="2"/>
  <c r="N2" i="5" a="1"/>
  <c r="R31" i="2" l="1"/>
  <c r="R197" i="2"/>
  <c r="R12" i="2"/>
  <c r="V23" i="4"/>
  <c r="V33" i="1" s="1"/>
  <c r="Y15" i="4"/>
  <c r="Y24" i="1" s="1"/>
  <c r="V15" i="4"/>
  <c r="V24" i="1" s="1"/>
  <c r="O15" i="4"/>
  <c r="O24" i="1" s="1"/>
  <c r="W23" i="4"/>
  <c r="W33" i="1" s="1"/>
  <c r="G23" i="4"/>
  <c r="G33" i="1" s="1"/>
  <c r="AB20" i="4"/>
  <c r="U23" i="4"/>
  <c r="U33" i="1" s="1"/>
  <c r="I23" i="4"/>
  <c r="I33" i="1" s="1"/>
  <c r="X23" i="4"/>
  <c r="X33" i="1" s="1"/>
  <c r="W15" i="4"/>
  <c r="W24" i="1" s="1"/>
  <c r="R79" i="2"/>
  <c r="R316" i="2"/>
  <c r="R202" i="2"/>
  <c r="R172" i="2"/>
  <c r="R231" i="2"/>
  <c r="AB12" i="4"/>
  <c r="AB15" i="4" s="1"/>
  <c r="S15" i="4"/>
  <c r="S24" i="1" s="1"/>
  <c r="Z23" i="4"/>
  <c r="Z33" i="1" s="1"/>
  <c r="AB11" i="4"/>
  <c r="R100" i="2"/>
  <c r="R176" i="2"/>
  <c r="R222" i="2"/>
  <c r="R201" i="2"/>
  <c r="T15" i="4"/>
  <c r="T24" i="1" s="1"/>
  <c r="AB19" i="4"/>
  <c r="H15" i="4"/>
  <c r="H24" i="1" s="1"/>
  <c r="R283" i="2"/>
  <c r="R145" i="2"/>
  <c r="R46" i="2"/>
  <c r="R107" i="2"/>
  <c r="R198" i="2"/>
  <c r="R288" i="2"/>
  <c r="R58" i="2"/>
  <c r="R227" i="2"/>
  <c r="R52" i="2"/>
  <c r="R264" i="2"/>
  <c r="R313" i="2"/>
  <c r="R248" i="2"/>
  <c r="R34" i="2"/>
  <c r="R78" i="2"/>
  <c r="R184" i="2"/>
  <c r="R23" i="2"/>
  <c r="R37" i="2"/>
  <c r="R192" i="2"/>
  <c r="R25" i="2"/>
  <c r="R209" i="2"/>
  <c r="R17" i="2"/>
  <c r="R16" i="2"/>
  <c r="R124" i="2"/>
  <c r="R298" i="2"/>
  <c r="R299" i="2"/>
  <c r="R35" i="2"/>
  <c r="R74" i="2"/>
  <c r="R67" i="2"/>
  <c r="R133" i="2"/>
  <c r="R221" i="2"/>
  <c r="R32" i="2"/>
  <c r="R219" i="2"/>
  <c r="R261" i="2"/>
  <c r="R186" i="2"/>
  <c r="R68" i="2"/>
  <c r="R284" i="2"/>
  <c r="R15" i="2"/>
  <c r="R19" i="2"/>
  <c r="R142" i="2"/>
  <c r="R178" i="2"/>
  <c r="R243" i="2"/>
  <c r="R94" i="2"/>
  <c r="R193" i="2"/>
  <c r="R290" i="2"/>
  <c r="R296" i="2"/>
  <c r="R65" i="2"/>
  <c r="R162" i="2"/>
  <c r="R30" i="2"/>
  <c r="R98" i="2"/>
  <c r="R315" i="2"/>
  <c r="R191" i="2"/>
  <c r="R36" i="2"/>
  <c r="R177" i="2"/>
  <c r="R258" i="2"/>
  <c r="R10" i="2"/>
  <c r="R276" i="2"/>
  <c r="R20" i="2"/>
  <c r="R195" i="2"/>
  <c r="R135" i="2"/>
  <c r="R102" i="2"/>
  <c r="R206" i="2"/>
  <c r="R233" i="2"/>
  <c r="R64" i="2"/>
  <c r="R303" i="2"/>
  <c r="R173" i="2"/>
  <c r="R271" i="2"/>
  <c r="R27" i="2"/>
  <c r="R230" i="2"/>
  <c r="R170" i="2"/>
  <c r="R122" i="2"/>
  <c r="R89" i="2"/>
  <c r="R116" i="2"/>
  <c r="R314" i="2"/>
  <c r="R154" i="2"/>
  <c r="R281" i="2"/>
  <c r="R130" i="2"/>
  <c r="R218" i="2"/>
  <c r="R274" i="2"/>
  <c r="R223" i="2"/>
  <c r="R61" i="2"/>
  <c r="R294" i="2"/>
  <c r="R282" i="2"/>
  <c r="R309" i="2"/>
  <c r="R62" i="2"/>
  <c r="R293" i="2"/>
  <c r="R187" i="2"/>
  <c r="R112" i="2"/>
  <c r="R63" i="2"/>
  <c r="R120" i="2"/>
  <c r="R181" i="2"/>
  <c r="R125" i="2"/>
  <c r="R40" i="2"/>
  <c r="R234" i="2"/>
  <c r="R129" i="2"/>
  <c r="R277" i="2"/>
  <c r="R105" i="2"/>
  <c r="R59" i="2"/>
  <c r="R131" i="2"/>
  <c r="R246" i="2"/>
  <c r="R311" i="2"/>
  <c r="R305" i="2"/>
  <c r="R21" i="2"/>
  <c r="R90" i="2"/>
  <c r="R167" i="2"/>
  <c r="R247" i="2"/>
  <c r="R49" i="2"/>
  <c r="R225" i="2"/>
  <c r="R134" i="2"/>
  <c r="R239" i="2"/>
  <c r="R279" i="2"/>
  <c r="R97" i="2"/>
  <c r="R11" i="2"/>
  <c r="R114" i="2"/>
  <c r="R292" i="2"/>
  <c r="R93" i="2"/>
  <c r="R183" i="2"/>
  <c r="R72" i="2"/>
  <c r="R280" i="2"/>
  <c r="R306" i="2"/>
  <c r="R99" i="2"/>
  <c r="R204" i="2"/>
  <c r="R69" i="2"/>
  <c r="R141" i="2"/>
  <c r="R249" i="2"/>
  <c r="R47" i="2"/>
  <c r="R203" i="2"/>
  <c r="R291" i="2"/>
  <c r="R155" i="2"/>
  <c r="R232" i="2"/>
  <c r="R304" i="2"/>
  <c r="R150" i="2"/>
  <c r="R127" i="2"/>
  <c r="R83" i="2"/>
  <c r="R217" i="2"/>
  <c r="R48" i="2"/>
  <c r="R95" i="2"/>
  <c r="R75" i="2"/>
  <c r="R163" i="2"/>
  <c r="R91" i="2"/>
  <c r="R175" i="2"/>
  <c r="R151" i="2"/>
  <c r="R33" i="2"/>
  <c r="R242" i="2"/>
  <c r="R138" i="2"/>
  <c r="R70" i="2"/>
  <c r="R302" i="2"/>
  <c r="R82" i="2"/>
  <c r="R84" i="2"/>
  <c r="R148" i="2"/>
  <c r="R71" i="2"/>
  <c r="R228" i="2"/>
  <c r="R196" i="2"/>
  <c r="R251" i="2"/>
  <c r="R212" i="2"/>
  <c r="R92" i="2"/>
  <c r="R14" i="2"/>
  <c r="R28" i="2"/>
  <c r="R7" i="2"/>
  <c r="R5" i="2"/>
  <c r="R88" i="2"/>
  <c r="R207" i="2"/>
  <c r="R257" i="2"/>
  <c r="R77" i="2"/>
  <c r="R166" i="2"/>
  <c r="R161" i="2"/>
  <c r="R250" i="2"/>
  <c r="R44" i="2"/>
  <c r="R238" i="2"/>
  <c r="R18" i="2"/>
  <c r="R101" i="2"/>
  <c r="R188" i="2"/>
  <c r="R254" i="2"/>
  <c r="R165" i="2"/>
  <c r="R189" i="2"/>
  <c r="R113" i="2"/>
  <c r="R310" i="2"/>
  <c r="R256" i="2"/>
  <c r="R45" i="2"/>
  <c r="R118" i="2"/>
  <c r="R182" i="2"/>
  <c r="R57" i="2"/>
  <c r="R26" i="2"/>
  <c r="R66" i="2"/>
  <c r="R42" i="2"/>
  <c r="R50" i="2"/>
  <c r="R80" i="2"/>
  <c r="R273" i="2"/>
  <c r="R205" i="2"/>
  <c r="R60" i="2"/>
  <c r="R106" i="2"/>
  <c r="R119" i="2"/>
  <c r="R210" i="2"/>
  <c r="R132" i="2"/>
  <c r="R278" i="2"/>
  <c r="R24" i="2"/>
  <c r="R241" i="2"/>
  <c r="R51" i="2"/>
  <c r="R29" i="2"/>
  <c r="R86" i="2"/>
  <c r="R245" i="2"/>
  <c r="R270" i="2"/>
  <c r="R287" i="2"/>
  <c r="R263" i="2"/>
  <c r="R53" i="2"/>
  <c r="R149" i="2"/>
  <c r="R300" i="2"/>
  <c r="R253" i="2"/>
  <c r="R211" i="2"/>
  <c r="R104" i="2"/>
  <c r="R180" i="2"/>
  <c r="R144" i="2"/>
  <c r="R13" i="2"/>
  <c r="R55" i="2"/>
  <c r="R146" i="2"/>
  <c r="R285" i="2"/>
  <c r="R22" i="2"/>
  <c r="R199" i="2"/>
  <c r="R136" i="2"/>
  <c r="R160" i="2"/>
  <c r="R307" i="2"/>
  <c r="R215" i="2"/>
  <c r="R226" i="2"/>
  <c r="R115" i="2"/>
  <c r="R121" i="2"/>
  <c r="R213" i="2"/>
  <c r="R137" i="2"/>
  <c r="R275" i="2"/>
  <c r="R252" i="2"/>
  <c r="R96" i="2"/>
  <c r="R286" i="2"/>
  <c r="R140" i="2"/>
  <c r="R76" i="2"/>
  <c r="R164" i="2"/>
  <c r="R266" i="2"/>
  <c r="R123" i="2"/>
  <c r="R244" i="2"/>
  <c r="R224" i="2"/>
  <c r="R259" i="2"/>
  <c r="R54" i="2"/>
  <c r="R87" i="2"/>
  <c r="R229" i="2"/>
  <c r="R190" i="2"/>
  <c r="R39" i="2"/>
  <c r="R157" i="2"/>
  <c r="R143" i="2"/>
  <c r="R301" i="2"/>
  <c r="R268" i="2"/>
  <c r="R9" i="2"/>
  <c r="R147" i="2"/>
  <c r="R240" i="2"/>
  <c r="R235" i="2"/>
  <c r="R117" i="2"/>
  <c r="R152" i="2"/>
  <c r="R267" i="2"/>
  <c r="R85" i="2"/>
  <c r="R111" i="2"/>
  <c r="R8" i="2"/>
  <c r="R289" i="2"/>
  <c r="R73" i="2"/>
  <c r="R169" i="2"/>
  <c r="R103" i="2"/>
  <c r="R262" i="2"/>
  <c r="R312" i="2"/>
  <c r="R236" i="2"/>
  <c r="R159" i="2"/>
  <c r="R216" i="2"/>
  <c r="R237" i="2"/>
  <c r="R81" i="2"/>
  <c r="R174" i="2"/>
  <c r="R109" i="2"/>
  <c r="R156" i="2"/>
  <c r="R153" i="2"/>
  <c r="R126" i="2"/>
  <c r="R297" i="2"/>
  <c r="R194" i="2"/>
  <c r="R269" i="2"/>
  <c r="R43" i="2"/>
  <c r="R139" i="2"/>
  <c r="R272" i="2"/>
  <c r="R128" i="2"/>
  <c r="R185" i="2"/>
  <c r="R220" i="2"/>
  <c r="R158" i="2"/>
  <c r="R255" i="2"/>
  <c r="R56" i="2"/>
  <c r="R200" i="2"/>
  <c r="R214" i="2"/>
  <c r="R295" i="2"/>
  <c r="R108" i="2"/>
  <c r="R168" i="2"/>
  <c r="R110" i="2"/>
  <c r="R308" i="2"/>
  <c r="R265" i="2"/>
  <c r="R208" i="2"/>
  <c r="R260" i="2"/>
  <c r="R41" i="2"/>
  <c r="N12" i="5"/>
  <c r="N3" i="5"/>
  <c r="N10" i="5"/>
  <c r="N6" i="5"/>
  <c r="N5" i="5"/>
  <c r="N9" i="5"/>
  <c r="N2" i="5"/>
  <c r="N4" i="5"/>
  <c r="N11" i="5"/>
  <c r="N8" i="5"/>
  <c r="N7" i="5"/>
  <c r="N13" i="5"/>
  <c r="AB24" i="1" l="1"/>
  <c r="B16" i="3" s="1"/>
  <c r="A6" i="2" s="1"/>
  <c r="AB33" i="1"/>
  <c r="AB23" i="4"/>
  <c r="N15" i="5"/>
  <c r="B20" i="3" l="1"/>
  <c r="F3" i="2" s="1"/>
  <c r="F2" i="2"/>
  <c r="A5" i="2"/>
  <c r="C16" i="3"/>
  <c r="B21" i="3"/>
  <c r="F4" i="2" s="1"/>
</calcChain>
</file>

<file path=xl/comments1.xml><?xml version="1.0" encoding="utf-8"?>
<comments xmlns="http://schemas.openxmlformats.org/spreadsheetml/2006/main">
  <authors>
    <author>A satisfied Microsoft Office user</author>
  </authors>
  <commentList>
    <comment ref="D2" authorId="0" shapeId="0">
      <text>
        <r>
          <rPr>
            <b/>
            <sz val="9"/>
            <color indexed="56"/>
            <rFont val="Tahoma"/>
            <family val="2"/>
          </rPr>
          <t xml:space="preserve">Note:  Leave these cells blank to calculate control limits, process capability indices and defect rate using current data
</t>
        </r>
      </text>
    </comment>
    <comment ref="F2" authorId="0" shapeId="0">
      <text>
        <r>
          <rPr>
            <b/>
            <sz val="8"/>
            <color indexed="81"/>
            <rFont val="Tahoma"/>
            <family val="2"/>
          </rPr>
          <t xml:space="preserve">Note:  You must enter at least 12 subgroups before current data may be used for control limits
</t>
        </r>
      </text>
    </comment>
  </commentList>
</comments>
</file>

<file path=xl/comments2.xml><?xml version="1.0" encoding="utf-8"?>
<comments xmlns="http://schemas.openxmlformats.org/spreadsheetml/2006/main">
  <authors>
    <author>Scott Leavengood</author>
  </authors>
  <commentList>
    <comment ref="J8" authorId="0" shapeId="0">
      <text>
        <r>
          <rPr>
            <b/>
            <sz val="8"/>
            <color indexed="81"/>
            <rFont val="Tahoma"/>
            <family val="2"/>
          </rPr>
          <t xml:space="preserve">Note:  Enter the desired number of cells for the histogram or leave this cell blank to have the program calculate the number of cells
</t>
        </r>
      </text>
    </comment>
  </commentList>
</comments>
</file>

<file path=xl/sharedStrings.xml><?xml version="1.0" encoding="utf-8"?>
<sst xmlns="http://schemas.openxmlformats.org/spreadsheetml/2006/main" count="141" uniqueCount="104">
  <si>
    <t>Historic Data</t>
  </si>
  <si>
    <t>Current Data</t>
  </si>
  <si>
    <t>Part No.</t>
  </si>
  <si>
    <t>CHART NO.</t>
  </si>
  <si>
    <t>X bar-bar</t>
  </si>
  <si>
    <t>SPECS.</t>
  </si>
  <si>
    <t>Target</t>
  </si>
  <si>
    <t>±</t>
  </si>
  <si>
    <t>OPERATOR</t>
  </si>
  <si>
    <t>OPERATION</t>
  </si>
  <si>
    <t>DATE</t>
  </si>
  <si>
    <t>TIME</t>
  </si>
  <si>
    <t>SAMPLES</t>
  </si>
  <si>
    <t>AVERAGE, X bar</t>
  </si>
  <si>
    <t>Subgroup #</t>
  </si>
  <si>
    <r>
      <t>UCL</t>
    </r>
    <r>
      <rPr>
        <vertAlign val="subscript"/>
        <sz val="10"/>
        <rFont val="Arial"/>
        <family val="2"/>
      </rPr>
      <t>X</t>
    </r>
  </si>
  <si>
    <r>
      <t>LCL</t>
    </r>
    <r>
      <rPr>
        <vertAlign val="subscript"/>
        <sz val="10"/>
        <rFont val="Arial"/>
        <family val="2"/>
      </rPr>
      <t>X</t>
    </r>
  </si>
  <si>
    <t>Average</t>
  </si>
  <si>
    <t xml:space="preserve">% defective = </t>
  </si>
  <si>
    <t>Normal</t>
  </si>
  <si>
    <t>Relative</t>
  </si>
  <si>
    <t>beyond</t>
  </si>
  <si>
    <r>
      <t>C</t>
    </r>
    <r>
      <rPr>
        <b/>
        <vertAlign val="subscript"/>
        <sz val="10"/>
        <rFont val="Arial"/>
        <family val="2"/>
      </rPr>
      <t xml:space="preserve">p </t>
    </r>
    <r>
      <rPr>
        <b/>
        <sz val="10"/>
        <rFont val="Arial"/>
        <family val="2"/>
      </rPr>
      <t>=</t>
    </r>
  </si>
  <si>
    <t>z</t>
  </si>
  <si>
    <t>x</t>
  </si>
  <si>
    <t>freq</t>
  </si>
  <si>
    <t>USL</t>
  </si>
  <si>
    <t>LSL</t>
  </si>
  <si>
    <r>
      <t>C</t>
    </r>
    <r>
      <rPr>
        <b/>
        <vertAlign val="subscript"/>
        <sz val="10"/>
        <rFont val="Arial"/>
        <family val="2"/>
      </rPr>
      <t>pk</t>
    </r>
    <r>
      <rPr>
        <b/>
        <sz val="10"/>
        <rFont val="Arial"/>
        <family val="2"/>
      </rPr>
      <t xml:space="preserve"> = </t>
    </r>
  </si>
  <si>
    <t>Sum</t>
  </si>
  <si>
    <t>Specifications</t>
  </si>
  <si>
    <t>Factors for Control Charts</t>
  </si>
  <si>
    <t>Sample size</t>
  </si>
  <si>
    <t>LSL =</t>
  </si>
  <si>
    <t>Tolerance</t>
  </si>
  <si>
    <t>USL =</t>
  </si>
  <si>
    <t>X-bar Chart</t>
  </si>
  <si>
    <t>Using Historical Data?</t>
  </si>
  <si>
    <t>Estimate of sigma =</t>
  </si>
  <si>
    <t>± 3 sigma =</t>
  </si>
  <si>
    <t>In Control?</t>
  </si>
  <si>
    <r>
      <t>Standard Normal Variable (</t>
    </r>
    <r>
      <rPr>
        <b/>
        <sz val="10"/>
        <color indexed="56"/>
        <rFont val="Arial"/>
        <family val="2"/>
      </rPr>
      <t>z</t>
    </r>
    <r>
      <rPr>
        <b/>
        <sz val="10"/>
        <rFont val="Arial"/>
        <family val="2"/>
      </rPr>
      <t>) and</t>
    </r>
    <r>
      <rPr>
        <b/>
        <sz val="10"/>
        <color indexed="17"/>
        <rFont val="Arial"/>
        <family val="2"/>
      </rPr>
      <t xml:space="preserve"> % defects</t>
    </r>
    <r>
      <rPr>
        <b/>
        <sz val="10"/>
        <rFont val="Arial"/>
        <family val="2"/>
      </rPr>
      <t xml:space="preserve"> beyond:</t>
    </r>
  </si>
  <si>
    <t>upper spec =</t>
  </si>
  <si>
    <t>lower spec =</t>
  </si>
  <si>
    <r>
      <t>C</t>
    </r>
    <r>
      <rPr>
        <b/>
        <vertAlign val="sub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= </t>
    </r>
  </si>
  <si>
    <r>
      <t>C</t>
    </r>
    <r>
      <rPr>
        <b/>
        <vertAlign val="subscript"/>
        <sz val="10"/>
        <rFont val="Arial"/>
        <family val="2"/>
      </rPr>
      <t>pk</t>
    </r>
    <r>
      <rPr>
        <b/>
        <sz val="10"/>
        <rFont val="Arial"/>
        <family val="2"/>
      </rPr>
      <t xml:space="preserve"> =</t>
    </r>
  </si>
  <si>
    <t>Sample Size</t>
  </si>
  <si>
    <t>Rule 1</t>
  </si>
  <si>
    <t>Rule 2</t>
  </si>
  <si>
    <t>Rule 3</t>
  </si>
  <si>
    <t>Rule 4</t>
  </si>
  <si>
    <t>Rule 5</t>
  </si>
  <si>
    <r>
      <t>Rule 1</t>
    </r>
    <r>
      <rPr>
        <sz val="9"/>
        <rFont val="Arial"/>
        <family val="2"/>
      </rPr>
      <t>:  Any point outside of the control limits</t>
    </r>
  </si>
  <si>
    <r>
      <t>Rule 2</t>
    </r>
    <r>
      <rPr>
        <sz val="9"/>
        <rFont val="Arial"/>
        <family val="2"/>
      </rPr>
      <t>:  Two of three consecutive points in outer one-thirds</t>
    </r>
  </si>
  <si>
    <r>
      <t>Rule 3</t>
    </r>
    <r>
      <rPr>
        <sz val="9"/>
        <rFont val="Arial"/>
        <family val="2"/>
      </rPr>
      <t>:  Four of five consecutive points in middle or outer one-thirds</t>
    </r>
  </si>
  <si>
    <r>
      <t>Rule 4</t>
    </r>
    <r>
      <rPr>
        <sz val="9"/>
        <rFont val="Arial"/>
        <family val="2"/>
      </rPr>
      <t>:  Seven consecutive points above or below the center line</t>
    </r>
  </si>
  <si>
    <r>
      <t>Rule 5</t>
    </r>
    <r>
      <rPr>
        <sz val="9"/>
        <rFont val="Arial"/>
        <family val="2"/>
      </rPr>
      <t>:  Five consecutive steps upward or downward</t>
    </r>
  </si>
  <si>
    <t>X-Bar</t>
  </si>
  <si>
    <t>Outer Third</t>
  </si>
  <si>
    <t>Middle Third</t>
  </si>
  <si>
    <t>Sample #</t>
  </si>
  <si>
    <t>S</t>
  </si>
  <si>
    <t>Upper Limits</t>
  </si>
  <si>
    <t>Lower Limits</t>
  </si>
  <si>
    <t>Total</t>
  </si>
  <si>
    <t>1= Violation of Rule</t>
  </si>
  <si>
    <t>No. of Rules violated</t>
  </si>
  <si>
    <t>Decimal places</t>
  </si>
  <si>
    <t>Lower bound</t>
  </si>
  <si>
    <t>Midpt</t>
  </si>
  <si>
    <t>Upper bound</t>
  </si>
  <si>
    <t>Frequency</t>
  </si>
  <si>
    <t>used in data</t>
  </si>
  <si>
    <t>Min</t>
  </si>
  <si>
    <t>Max</t>
  </si>
  <si>
    <t>Range</t>
  </si>
  <si>
    <t># measured</t>
  </si>
  <si>
    <t># Bins</t>
  </si>
  <si>
    <t>Cell width</t>
  </si>
  <si>
    <t>Exclude sample?</t>
  </si>
  <si>
    <t>Empty or exclude?</t>
  </si>
  <si>
    <t>VARIABLES CONTROL CHART (X-bar and R)</t>
  </si>
  <si>
    <t>Range (R)</t>
  </si>
  <si>
    <r>
      <t>d</t>
    </r>
    <r>
      <rPr>
        <vertAlign val="subscript"/>
        <sz val="10"/>
        <color indexed="10"/>
        <rFont val="Arial"/>
        <family val="2"/>
      </rPr>
      <t>2</t>
    </r>
  </si>
  <si>
    <r>
      <t>A</t>
    </r>
    <r>
      <rPr>
        <vertAlign val="subscript"/>
        <sz val="10"/>
        <color indexed="10"/>
        <rFont val="Arial"/>
        <family val="2"/>
      </rPr>
      <t>2</t>
    </r>
  </si>
  <si>
    <r>
      <t>D</t>
    </r>
    <r>
      <rPr>
        <vertAlign val="subscript"/>
        <sz val="10"/>
        <color indexed="10"/>
        <rFont val="Arial"/>
        <family val="2"/>
      </rPr>
      <t>3</t>
    </r>
  </si>
  <si>
    <r>
      <t>D</t>
    </r>
    <r>
      <rPr>
        <vertAlign val="subscript"/>
        <sz val="10"/>
        <color indexed="10"/>
        <rFont val="Arial"/>
        <family val="2"/>
      </rPr>
      <t>4</t>
    </r>
  </si>
  <si>
    <t>R chart</t>
  </si>
  <si>
    <r>
      <t xml:space="preserve">UCL = X bar-bar + </t>
    </r>
    <r>
      <rPr>
        <sz val="10"/>
        <color indexed="10"/>
        <rFont val="Arial"/>
        <family val="2"/>
      </rPr>
      <t>A</t>
    </r>
    <r>
      <rPr>
        <vertAlign val="subscript"/>
        <sz val="10"/>
        <color indexed="10"/>
        <rFont val="Arial"/>
        <family val="2"/>
      </rPr>
      <t>2</t>
    </r>
    <r>
      <rPr>
        <sz val="10"/>
        <rFont val="Arial"/>
        <family val="2"/>
      </rPr>
      <t>(R</t>
    </r>
    <r>
      <rPr>
        <sz val="10"/>
        <rFont val="Arial"/>
        <family val="2"/>
      </rPr>
      <t xml:space="preserve"> bar)</t>
    </r>
  </si>
  <si>
    <r>
      <t xml:space="preserve">LCL = X bar-bar - </t>
    </r>
    <r>
      <rPr>
        <sz val="10"/>
        <color indexed="10"/>
        <rFont val="Arial"/>
        <family val="2"/>
      </rPr>
      <t>A</t>
    </r>
    <r>
      <rPr>
        <vertAlign val="subscript"/>
        <sz val="10"/>
        <color indexed="10"/>
        <rFont val="Arial"/>
        <family val="2"/>
      </rPr>
      <t>2</t>
    </r>
    <r>
      <rPr>
        <sz val="10"/>
        <rFont val="Arial"/>
        <family val="2"/>
      </rPr>
      <t>(R bar)</t>
    </r>
  </si>
  <si>
    <r>
      <t xml:space="preserve">UCL = </t>
    </r>
    <r>
      <rPr>
        <sz val="10"/>
        <color indexed="10"/>
        <rFont val="Arial"/>
        <family val="2"/>
      </rPr>
      <t>D</t>
    </r>
    <r>
      <rPr>
        <vertAlign val="subscript"/>
        <sz val="10"/>
        <color indexed="10"/>
        <rFont val="Arial"/>
        <family val="2"/>
      </rPr>
      <t>4</t>
    </r>
    <r>
      <rPr>
        <sz val="10"/>
        <rFont val="Arial"/>
        <family val="2"/>
      </rPr>
      <t>(R bar)</t>
    </r>
  </si>
  <si>
    <r>
      <t xml:space="preserve">LCL = </t>
    </r>
    <r>
      <rPr>
        <sz val="10"/>
        <color indexed="10"/>
        <rFont val="Arial"/>
        <family val="2"/>
      </rPr>
      <t>D</t>
    </r>
    <r>
      <rPr>
        <vertAlign val="subscript"/>
        <sz val="10"/>
        <color indexed="10"/>
        <rFont val="Arial"/>
        <family val="2"/>
      </rPr>
      <t>3</t>
    </r>
    <r>
      <rPr>
        <sz val="10"/>
        <rFont val="Arial"/>
        <family val="2"/>
      </rPr>
      <t>(R bar)</t>
    </r>
  </si>
  <si>
    <r>
      <t>Estimate of std dev (sigma) = R bar/</t>
    </r>
    <r>
      <rPr>
        <sz val="10"/>
        <color indexed="10"/>
        <rFont val="Arial"/>
        <family val="2"/>
      </rPr>
      <t xml:space="preserve"> d</t>
    </r>
    <r>
      <rPr>
        <vertAlign val="subscript"/>
        <sz val="10"/>
        <color indexed="10"/>
        <rFont val="Arial"/>
        <family val="2"/>
      </rPr>
      <t>2</t>
    </r>
    <r>
      <rPr>
        <sz val="10"/>
        <color indexed="10"/>
        <rFont val="Arial"/>
        <family val="2"/>
      </rPr>
      <t xml:space="preserve"> </t>
    </r>
  </si>
  <si>
    <t>R bar</t>
  </si>
  <si>
    <r>
      <t>UCL</t>
    </r>
    <r>
      <rPr>
        <vertAlign val="subscript"/>
        <sz val="10"/>
        <rFont val="Arial"/>
        <family val="2"/>
      </rPr>
      <t>R</t>
    </r>
  </si>
  <si>
    <r>
      <t>LCL</t>
    </r>
    <r>
      <rPr>
        <vertAlign val="subscript"/>
        <sz val="10"/>
        <rFont val="Arial"/>
        <family val="2"/>
      </rPr>
      <t>R</t>
    </r>
  </si>
  <si>
    <t>Sample Size =</t>
  </si>
  <si>
    <t>Zero Value</t>
  </si>
  <si>
    <t>Decimal Places</t>
  </si>
  <si>
    <t>Machine</t>
  </si>
  <si>
    <t>Use this rule?</t>
  </si>
  <si>
    <t>(checked = yes)</t>
  </si>
  <si>
    <t>R</t>
  </si>
  <si>
    <t>Decimal Places in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</si>
</sst>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0.0"/>
  </numFmts>
  <fonts count="3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vertAlign val="subscript"/>
      <sz val="10"/>
      <color indexed="10"/>
      <name val="Arial"/>
      <family val="2"/>
    </font>
    <font>
      <sz val="9"/>
      <name val="Arial"/>
      <family val="2"/>
    </font>
    <font>
      <b/>
      <sz val="10"/>
      <color indexed="56"/>
      <name val="Arial"/>
      <family val="2"/>
    </font>
    <font>
      <sz val="10"/>
      <color indexed="56"/>
      <name val="Arial"/>
      <family val="2"/>
    </font>
    <font>
      <b/>
      <sz val="10"/>
      <color indexed="17"/>
      <name val="Arial"/>
      <family val="2"/>
    </font>
    <font>
      <sz val="10"/>
      <color indexed="17"/>
      <name val="Arial"/>
      <family val="2"/>
    </font>
    <font>
      <sz val="8"/>
      <color indexed="10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vertAlign val="subscript"/>
      <sz val="10"/>
      <name val="Arial"/>
      <family val="2"/>
    </font>
    <font>
      <b/>
      <sz val="10"/>
      <color indexed="10"/>
      <name val="Arial"/>
      <family val="2"/>
    </font>
    <font>
      <b/>
      <sz val="8"/>
      <color indexed="56"/>
      <name val="Arial"/>
      <family val="2"/>
    </font>
    <font>
      <b/>
      <sz val="10"/>
      <color indexed="50"/>
      <name val="Arial"/>
      <family val="2"/>
    </font>
    <font>
      <b/>
      <sz val="8"/>
      <color indexed="81"/>
      <name val="Tahoma"/>
      <family val="2"/>
    </font>
    <font>
      <b/>
      <sz val="9"/>
      <name val="Arial"/>
      <family val="2"/>
    </font>
    <font>
      <b/>
      <sz val="8"/>
      <color indexed="10"/>
      <name val="Arial"/>
      <family val="2"/>
    </font>
    <font>
      <b/>
      <sz val="9"/>
      <color indexed="56"/>
      <name val="Tahoma"/>
      <family val="2"/>
    </font>
    <font>
      <b/>
      <sz val="7"/>
      <name val="Small Fonts"/>
      <family val="2"/>
    </font>
    <font>
      <sz val="10"/>
      <color indexed="9"/>
      <name val="Arial"/>
      <family val="2"/>
    </font>
    <font>
      <sz val="8"/>
      <color indexed="9"/>
      <name val="Arial"/>
      <family val="2"/>
    </font>
    <font>
      <sz val="10"/>
      <color indexed="47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sz val="7"/>
      <name val="Small Fonts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uble">
        <color indexed="10"/>
      </right>
      <top style="thin">
        <color indexed="64"/>
      </top>
      <bottom style="thin">
        <color indexed="64"/>
      </bottom>
      <diagonal/>
    </border>
    <border>
      <left/>
      <right style="double">
        <color indexed="10"/>
      </right>
      <top style="thin">
        <color indexed="64"/>
      </top>
      <bottom style="double">
        <color indexed="10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10"/>
      </top>
      <bottom style="thin">
        <color indexed="64"/>
      </bottom>
      <diagonal/>
    </border>
    <border>
      <left/>
      <right style="double">
        <color indexed="10"/>
      </right>
      <top style="double">
        <color indexed="1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slantDashDot">
        <color indexed="64"/>
      </right>
      <top style="slantDashDot">
        <color indexed="64"/>
      </top>
      <bottom/>
      <diagonal/>
    </border>
    <border>
      <left style="slantDashDot">
        <color indexed="64"/>
      </left>
      <right/>
      <top/>
      <bottom/>
      <diagonal/>
    </border>
    <border>
      <left/>
      <right style="slantDashDot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slantDashDot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slantDashDot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slantDashDot">
        <color indexed="64"/>
      </top>
      <bottom/>
      <diagonal/>
    </border>
    <border>
      <left/>
      <right style="thin">
        <color indexed="64"/>
      </right>
      <top style="slantDashDot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double">
        <color indexed="10"/>
      </left>
      <right/>
      <top style="double">
        <color indexed="10"/>
      </top>
      <bottom style="thin">
        <color indexed="64"/>
      </bottom>
      <diagonal/>
    </border>
    <border>
      <left/>
      <right style="thin">
        <color indexed="64"/>
      </right>
      <top style="double">
        <color indexed="10"/>
      </top>
      <bottom style="thin">
        <color indexed="64"/>
      </bottom>
      <diagonal/>
    </border>
    <border>
      <left style="double">
        <color indexed="10"/>
      </left>
      <right/>
      <top style="thin">
        <color indexed="64"/>
      </top>
      <bottom style="thin">
        <color indexed="64"/>
      </bottom>
      <diagonal/>
    </border>
    <border>
      <left style="double">
        <color indexed="10"/>
      </left>
      <right/>
      <top/>
      <bottom style="double">
        <color indexed="10"/>
      </bottom>
      <diagonal/>
    </border>
    <border>
      <left/>
      <right style="slantDashDot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5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2" fillId="0" borderId="5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1" xfId="0" applyBorder="1" applyProtection="1"/>
    <xf numFmtId="0" fontId="6" fillId="2" borderId="6" xfId="0" applyFont="1" applyFill="1" applyBorder="1" applyProtection="1">
      <protection locked="0"/>
    </xf>
    <xf numFmtId="0" fontId="4" fillId="3" borderId="9" xfId="0" applyFont="1" applyFill="1" applyBorder="1" applyProtection="1"/>
    <xf numFmtId="0" fontId="4" fillId="3" borderId="10" xfId="0" applyFont="1" applyFill="1" applyBorder="1" applyProtection="1"/>
    <xf numFmtId="0" fontId="2" fillId="0" borderId="11" xfId="0" applyFont="1" applyBorder="1"/>
    <xf numFmtId="0" fontId="7" fillId="0" borderId="0" xfId="0" applyFont="1" applyBorder="1"/>
    <xf numFmtId="0" fontId="7" fillId="2" borderId="12" xfId="0" applyFont="1" applyFill="1" applyBorder="1"/>
    <xf numFmtId="0" fontId="0" fillId="2" borderId="13" xfId="0" applyFill="1" applyBorder="1"/>
    <xf numFmtId="165" fontId="0" fillId="0" borderId="0" xfId="0" applyNumberFormat="1" applyBorder="1"/>
    <xf numFmtId="0" fontId="0" fillId="0" borderId="5" xfId="0" applyBorder="1" applyProtection="1"/>
    <xf numFmtId="0" fontId="0" fillId="0" borderId="9" xfId="0" applyBorder="1" applyProtection="1"/>
    <xf numFmtId="0" fontId="0" fillId="0" borderId="14" xfId="0" applyBorder="1" applyProtection="1"/>
    <xf numFmtId="0" fontId="0" fillId="0" borderId="15" xfId="0" applyBorder="1" applyProtection="1"/>
    <xf numFmtId="0" fontId="6" fillId="3" borderId="6" xfId="0" applyFont="1" applyFill="1" applyBorder="1" applyProtection="1"/>
    <xf numFmtId="0" fontId="6" fillId="2" borderId="6" xfId="0" applyFont="1" applyFill="1" applyBorder="1" applyAlignment="1" applyProtection="1">
      <alignment horizontal="left"/>
      <protection locked="0"/>
    </xf>
    <xf numFmtId="0" fontId="6" fillId="2" borderId="16" xfId="0" applyFont="1" applyFill="1" applyBorder="1" applyAlignment="1" applyProtection="1">
      <alignment horizontal="left"/>
      <protection locked="0"/>
    </xf>
    <xf numFmtId="0" fontId="0" fillId="0" borderId="9" xfId="0" applyBorder="1" applyProtection="1">
      <protection locked="0"/>
    </xf>
    <xf numFmtId="0" fontId="12" fillId="2" borderId="0" xfId="0" applyFont="1" applyFill="1" applyBorder="1"/>
    <xf numFmtId="0" fontId="12" fillId="2" borderId="2" xfId="0" applyFont="1" applyFill="1" applyBorder="1"/>
    <xf numFmtId="0" fontId="0" fillId="0" borderId="0" xfId="0" applyAlignment="1">
      <alignment horizontal="right"/>
    </xf>
    <xf numFmtId="0" fontId="0" fillId="3" borderId="5" xfId="0" applyFill="1" applyBorder="1" applyAlignment="1">
      <alignment horizontal="centerContinuous"/>
    </xf>
    <xf numFmtId="0" fontId="0" fillId="0" borderId="0" xfId="0" applyAlignment="1">
      <alignment horizontal="left"/>
    </xf>
    <xf numFmtId="0" fontId="4" fillId="0" borderId="0" xfId="0" applyFont="1" applyAlignment="1">
      <alignment horizontal="right"/>
    </xf>
    <xf numFmtId="0" fontId="0" fillId="0" borderId="17" xfId="0" applyBorder="1" applyProtection="1">
      <protection locked="0"/>
    </xf>
    <xf numFmtId="0" fontId="0" fillId="2" borderId="18" xfId="0" applyFill="1" applyBorder="1"/>
    <xf numFmtId="0" fontId="0" fillId="2" borderId="12" xfId="0" applyNumberFormat="1" applyFill="1" applyBorder="1"/>
    <xf numFmtId="0" fontId="0" fillId="2" borderId="1" xfId="0" applyFill="1" applyBorder="1"/>
    <xf numFmtId="0" fontId="0" fillId="2" borderId="19" xfId="0" applyFill="1" applyBorder="1"/>
    <xf numFmtId="0" fontId="0" fillId="0" borderId="19" xfId="0" applyBorder="1"/>
    <xf numFmtId="0" fontId="7" fillId="0" borderId="0" xfId="0" applyFont="1" applyBorder="1" applyAlignment="1">
      <alignment horizontal="centerContinuous"/>
    </xf>
    <xf numFmtId="0" fontId="7" fillId="3" borderId="5" xfId="0" applyFont="1" applyFill="1" applyBorder="1" applyAlignment="1">
      <alignment horizontal="right"/>
    </xf>
    <xf numFmtId="0" fontId="7" fillId="3" borderId="18" xfId="0" applyFont="1" applyFill="1" applyBorder="1"/>
    <xf numFmtId="0" fontId="6" fillId="3" borderId="13" xfId="0" applyNumberFormat="1" applyFont="1" applyFill="1" applyBorder="1" applyProtection="1"/>
    <xf numFmtId="0" fontId="6" fillId="3" borderId="9" xfId="0" applyFont="1" applyFill="1" applyBorder="1" applyProtection="1"/>
    <xf numFmtId="0" fontId="4" fillId="2" borderId="4" xfId="0" applyFont="1" applyFill="1" applyBorder="1"/>
    <xf numFmtId="0" fontId="7" fillId="0" borderId="11" xfId="0" applyFont="1" applyBorder="1" applyProtection="1"/>
    <xf numFmtId="0" fontId="7" fillId="0" borderId="20" xfId="0" applyFont="1" applyBorder="1" applyProtection="1"/>
    <xf numFmtId="0" fontId="21" fillId="2" borderId="0" xfId="0" applyNumberFormat="1" applyFont="1" applyFill="1" applyBorder="1"/>
    <xf numFmtId="0" fontId="0" fillId="2" borderId="0" xfId="0" applyFill="1" applyBorder="1" applyAlignment="1">
      <alignment horizontal="right"/>
    </xf>
    <xf numFmtId="0" fontId="0" fillId="2" borderId="2" xfId="0" applyFill="1" applyBorder="1" applyAlignment="1">
      <alignment horizontal="right"/>
    </xf>
    <xf numFmtId="0" fontId="0" fillId="2" borderId="4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20" fillId="2" borderId="0" xfId="0" applyNumberFormat="1" applyFont="1" applyFill="1" applyBorder="1" applyAlignment="1">
      <alignment horizontal="centerContinuous"/>
    </xf>
    <xf numFmtId="0" fontId="2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0" fontId="7" fillId="0" borderId="21" xfId="0" applyFont="1" applyBorder="1" applyAlignment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/>
    </xf>
    <xf numFmtId="0" fontId="7" fillId="0" borderId="21" xfId="0" applyFont="1" applyBorder="1"/>
    <xf numFmtId="0" fontId="4" fillId="0" borderId="0" xfId="0" applyFont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13" fillId="0" borderId="0" xfId="0" applyFont="1" applyBorder="1" applyAlignment="1">
      <alignment horizontal="left"/>
    </xf>
    <xf numFmtId="0" fontId="7" fillId="0" borderId="21" xfId="0" applyFont="1" applyBorder="1" applyAlignment="1">
      <alignment horizontal="right"/>
    </xf>
    <xf numFmtId="0" fontId="22" fillId="0" borderId="0" xfId="0" applyFont="1" applyBorder="1" applyAlignment="1">
      <alignment horizontal="left"/>
    </xf>
    <xf numFmtId="0" fontId="4" fillId="0" borderId="0" xfId="0" applyFont="1" applyBorder="1" applyAlignment="1"/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right"/>
    </xf>
    <xf numFmtId="0" fontId="0" fillId="0" borderId="21" xfId="0" applyBorder="1" applyAlignment="1"/>
    <xf numFmtId="0" fontId="7" fillId="3" borderId="12" xfId="0" applyFont="1" applyFill="1" applyBorder="1" applyAlignment="1">
      <alignment horizontal="right"/>
    </xf>
    <xf numFmtId="0" fontId="6" fillId="3" borderId="22" xfId="0" applyFont="1" applyFill="1" applyBorder="1" applyProtection="1"/>
    <xf numFmtId="0" fontId="6" fillId="3" borderId="23" xfId="0" applyFont="1" applyFill="1" applyBorder="1" applyProtection="1"/>
    <xf numFmtId="0" fontId="6" fillId="0" borderId="5" xfId="0" applyFont="1" applyFill="1" applyBorder="1" applyProtection="1">
      <protection locked="0"/>
    </xf>
    <xf numFmtId="0" fontId="0" fillId="0" borderId="24" xfId="0" applyBorder="1" applyProtection="1">
      <protection locked="0"/>
    </xf>
    <xf numFmtId="0" fontId="7" fillId="3" borderId="25" xfId="0" applyFont="1" applyFill="1" applyBorder="1" applyAlignment="1" applyProtection="1"/>
    <xf numFmtId="0" fontId="7" fillId="3" borderId="26" xfId="0" applyFont="1" applyFill="1" applyBorder="1" applyAlignment="1" applyProtection="1"/>
    <xf numFmtId="0" fontId="0" fillId="0" borderId="22" xfId="0" applyBorder="1" applyAlignment="1" applyProtection="1">
      <alignment horizontal="centerContinuous"/>
      <protection locked="0"/>
    </xf>
    <xf numFmtId="0" fontId="0" fillId="0" borderId="22" xfId="0" applyBorder="1" applyProtection="1">
      <protection locked="0"/>
    </xf>
    <xf numFmtId="0" fontId="2" fillId="0" borderId="27" xfId="0" applyFont="1" applyBorder="1" applyAlignment="1" applyProtection="1">
      <alignment horizontal="left" vertical="top"/>
      <protection locked="0"/>
    </xf>
    <xf numFmtId="0" fontId="0" fillId="0" borderId="5" xfId="0" applyBorder="1" applyAlignment="1" applyProtection="1">
      <alignment horizontal="centerContinuous"/>
      <protection locked="0"/>
    </xf>
    <xf numFmtId="20" fontId="0" fillId="0" borderId="28" xfId="0" applyNumberFormat="1" applyBorder="1" applyProtection="1">
      <protection locked="0"/>
    </xf>
    <xf numFmtId="0" fontId="6" fillId="3" borderId="11" xfId="0" applyFont="1" applyFill="1" applyBorder="1"/>
    <xf numFmtId="0" fontId="14" fillId="3" borderId="9" xfId="0" applyFont="1" applyFill="1" applyBorder="1" applyAlignment="1">
      <alignment horizontal="centerContinuous"/>
    </xf>
    <xf numFmtId="0" fontId="6" fillId="3" borderId="5" xfId="0" applyFont="1" applyFill="1" applyBorder="1" applyAlignment="1">
      <alignment horizontal="centerContinuous"/>
    </xf>
    <xf numFmtId="0" fontId="0" fillId="4" borderId="1" xfId="0" applyFill="1" applyBorder="1" applyProtection="1"/>
    <xf numFmtId="0" fontId="0" fillId="4" borderId="0" xfId="0" applyFill="1" applyBorder="1"/>
    <xf numFmtId="0" fontId="24" fillId="4" borderId="29" xfId="0" applyFont="1" applyFill="1" applyBorder="1"/>
    <xf numFmtId="0" fontId="9" fillId="4" borderId="30" xfId="0" applyFont="1" applyFill="1" applyBorder="1"/>
    <xf numFmtId="0" fontId="9" fillId="4" borderId="31" xfId="0" applyFont="1" applyFill="1" applyBorder="1"/>
    <xf numFmtId="0" fontId="24" fillId="4" borderId="32" xfId="0" applyFont="1" applyFill="1" applyBorder="1"/>
    <xf numFmtId="0" fontId="9" fillId="4" borderId="0" xfId="0" applyFont="1" applyFill="1" applyBorder="1"/>
    <xf numFmtId="0" fontId="9" fillId="4" borderId="33" xfId="0" applyFont="1" applyFill="1" applyBorder="1"/>
    <xf numFmtId="0" fontId="0" fillId="4" borderId="30" xfId="0" applyFill="1" applyBorder="1"/>
    <xf numFmtId="0" fontId="0" fillId="4" borderId="31" xfId="0" applyFill="1" applyBorder="1"/>
    <xf numFmtId="0" fontId="0" fillId="4" borderId="33" xfId="0" applyFill="1" applyBorder="1"/>
    <xf numFmtId="0" fontId="2" fillId="0" borderId="2" xfId="0" applyFont="1" applyBorder="1"/>
    <xf numFmtId="0" fontId="16" fillId="4" borderId="34" xfId="0" applyFont="1" applyFill="1" applyBorder="1"/>
    <xf numFmtId="0" fontId="16" fillId="0" borderId="34" xfId="0" applyFont="1" applyBorder="1"/>
    <xf numFmtId="0" fontId="25" fillId="0" borderId="35" xfId="0" applyFont="1" applyBorder="1"/>
    <xf numFmtId="0" fontId="0" fillId="0" borderId="36" xfId="0" applyBorder="1"/>
    <xf numFmtId="0" fontId="17" fillId="4" borderId="11" xfId="0" applyFont="1" applyFill="1" applyBorder="1"/>
    <xf numFmtId="0" fontId="18" fillId="0" borderId="34" xfId="0" applyFont="1" applyBorder="1"/>
    <xf numFmtId="0" fontId="17" fillId="0" borderId="11" xfId="0" applyFont="1" applyBorder="1"/>
    <xf numFmtId="0" fontId="2" fillId="0" borderId="20" xfId="0" applyFont="1" applyBorder="1"/>
    <xf numFmtId="0" fontId="17" fillId="2" borderId="37" xfId="0" applyFont="1" applyFill="1" applyBorder="1"/>
    <xf numFmtId="0" fontId="2" fillId="2" borderId="37" xfId="0" applyFont="1" applyFill="1" applyBorder="1"/>
    <xf numFmtId="0" fontId="16" fillId="2" borderId="38" xfId="0" applyFont="1" applyFill="1" applyBorder="1" applyAlignment="1">
      <alignment horizontal="center"/>
    </xf>
    <xf numFmtId="0" fontId="18" fillId="0" borderId="39" xfId="0" applyFont="1" applyBorder="1"/>
    <xf numFmtId="0" fontId="2" fillId="2" borderId="40" xfId="0" applyFont="1" applyFill="1" applyBorder="1"/>
    <xf numFmtId="0" fontId="25" fillId="0" borderId="41" xfId="0" applyFont="1" applyBorder="1"/>
    <xf numFmtId="0" fontId="2" fillId="0" borderId="42" xfId="0" applyFont="1" applyBorder="1"/>
    <xf numFmtId="0" fontId="2" fillId="4" borderId="43" xfId="0" applyFont="1" applyFill="1" applyBorder="1"/>
    <xf numFmtId="0" fontId="2" fillId="0" borderId="44" xfId="0" applyFont="1" applyBorder="1"/>
    <xf numFmtId="0" fontId="2" fillId="4" borderId="45" xfId="0" applyFont="1" applyFill="1" applyBorder="1"/>
    <xf numFmtId="0" fontId="0" fillId="5" borderId="36" xfId="0" applyFill="1" applyBorder="1"/>
    <xf numFmtId="0" fontId="9" fillId="5" borderId="36" xfId="0" applyFont="1" applyFill="1" applyBorder="1"/>
    <xf numFmtId="0" fontId="2" fillId="5" borderId="2" xfId="0" applyFont="1" applyFill="1" applyBorder="1"/>
    <xf numFmtId="14" fontId="0" fillId="0" borderId="19" xfId="0" applyNumberFormat="1" applyBorder="1" applyProtection="1">
      <protection locked="0"/>
    </xf>
    <xf numFmtId="164" fontId="0" fillId="0" borderId="0" xfId="0" applyNumberFormat="1" applyBorder="1" applyAlignment="1">
      <alignment horizontal="left"/>
    </xf>
    <xf numFmtId="0" fontId="14" fillId="3" borderId="11" xfId="0" applyFont="1" applyFill="1" applyBorder="1"/>
    <xf numFmtId="0" fontId="6" fillId="3" borderId="6" xfId="0" applyFont="1" applyFill="1" applyBorder="1" applyAlignment="1">
      <alignment horizontal="centerContinuous"/>
    </xf>
    <xf numFmtId="0" fontId="2" fillId="4" borderId="46" xfId="0" applyFont="1" applyFill="1" applyBorder="1"/>
    <xf numFmtId="0" fontId="2" fillId="4" borderId="47" xfId="0" applyFont="1" applyFill="1" applyBorder="1"/>
    <xf numFmtId="0" fontId="2" fillId="4" borderId="48" xfId="0" applyFont="1" applyFill="1" applyBorder="1"/>
    <xf numFmtId="0" fontId="2" fillId="0" borderId="49" xfId="0" applyFont="1" applyBorder="1"/>
    <xf numFmtId="0" fontId="2" fillId="0" borderId="50" xfId="0" applyFont="1" applyBorder="1"/>
    <xf numFmtId="0" fontId="2" fillId="0" borderId="37" xfId="0" applyFont="1" applyBorder="1"/>
    <xf numFmtId="0" fontId="2" fillId="0" borderId="51" xfId="0" applyFont="1" applyBorder="1"/>
    <xf numFmtId="0" fontId="2" fillId="0" borderId="34" xfId="0" applyFont="1" applyBorder="1"/>
    <xf numFmtId="0" fontId="16" fillId="6" borderId="34" xfId="0" applyFont="1" applyFill="1" applyBorder="1"/>
    <xf numFmtId="0" fontId="2" fillId="0" borderId="52" xfId="0" applyFont="1" applyBorder="1"/>
    <xf numFmtId="0" fontId="2" fillId="0" borderId="53" xfId="0" applyFont="1" applyBorder="1"/>
    <xf numFmtId="0" fontId="28" fillId="0" borderId="0" xfId="0" applyFont="1"/>
    <xf numFmtId="0" fontId="0" fillId="0" borderId="54" xfId="0" applyBorder="1" applyAlignment="1">
      <alignment horizontal="right"/>
    </xf>
    <xf numFmtId="0" fontId="0" fillId="0" borderId="54" xfId="0" applyBorder="1" applyAlignment="1">
      <alignment horizontal="left" indent="1"/>
    </xf>
    <xf numFmtId="0" fontId="2" fillId="0" borderId="55" xfId="0" applyFont="1" applyBorder="1"/>
    <xf numFmtId="0" fontId="16" fillId="6" borderId="37" xfId="0" applyFont="1" applyFill="1" applyBorder="1" applyProtection="1">
      <protection locked="0"/>
    </xf>
    <xf numFmtId="0" fontId="29" fillId="0" borderId="0" xfId="0" applyFont="1"/>
    <xf numFmtId="0" fontId="29" fillId="0" borderId="0" xfId="0" applyFont="1" applyAlignment="1">
      <alignment horizontal="centerContinuous"/>
    </xf>
    <xf numFmtId="0" fontId="29" fillId="0" borderId="0" xfId="0" applyFont="1" applyAlignment="1"/>
    <xf numFmtId="0" fontId="29" fillId="0" borderId="0" xfId="0" applyNumberFormat="1" applyFont="1"/>
    <xf numFmtId="0" fontId="29" fillId="0" borderId="1" xfId="0" applyFont="1" applyBorder="1"/>
    <xf numFmtId="0" fontId="28" fillId="0" borderId="56" xfId="0" applyFont="1" applyBorder="1"/>
    <xf numFmtId="0" fontId="28" fillId="0" borderId="56" xfId="0" applyNumberFormat="1" applyFont="1" applyBorder="1"/>
    <xf numFmtId="0" fontId="29" fillId="0" borderId="0" xfId="0" applyFont="1" applyBorder="1"/>
    <xf numFmtId="0" fontId="29" fillId="0" borderId="2" xfId="0" applyFont="1" applyBorder="1"/>
    <xf numFmtId="0" fontId="28" fillId="0" borderId="0" xfId="0" applyFont="1" applyBorder="1"/>
    <xf numFmtId="0" fontId="2" fillId="2" borderId="57" xfId="0" applyFont="1" applyFill="1" applyBorder="1"/>
    <xf numFmtId="0" fontId="2" fillId="2" borderId="58" xfId="0" applyFont="1" applyFill="1" applyBorder="1"/>
    <xf numFmtId="0" fontId="4" fillId="0" borderId="0" xfId="0" applyFont="1"/>
    <xf numFmtId="0" fontId="7" fillId="0" borderId="0" xfId="0" applyFont="1"/>
    <xf numFmtId="0" fontId="0" fillId="0" borderId="1" xfId="0" applyFill="1" applyBorder="1"/>
    <xf numFmtId="0" fontId="0" fillId="0" borderId="0" xfId="0" applyFill="1" applyBorder="1"/>
    <xf numFmtId="0" fontId="31" fillId="0" borderId="0" xfId="0" applyFont="1" applyBorder="1"/>
    <xf numFmtId="0" fontId="29" fillId="0" borderId="59" xfId="0" applyFont="1" applyBorder="1"/>
    <xf numFmtId="0" fontId="0" fillId="6" borderId="1" xfId="0" applyFill="1" applyBorder="1"/>
    <xf numFmtId="0" fontId="0" fillId="6" borderId="0" xfId="0" applyFill="1" applyBorder="1"/>
    <xf numFmtId="0" fontId="0" fillId="6" borderId="0" xfId="0" applyFill="1"/>
    <xf numFmtId="0" fontId="7" fillId="0" borderId="5" xfId="0" applyFont="1" applyFill="1" applyBorder="1" applyProtection="1">
      <protection locked="0"/>
    </xf>
    <xf numFmtId="0" fontId="0" fillId="0" borderId="5" xfId="0" applyFill="1" applyBorder="1" applyProtection="1">
      <protection locked="0"/>
    </xf>
    <xf numFmtId="0" fontId="0" fillId="4" borderId="9" xfId="0" applyFill="1" applyBorder="1" applyProtection="1"/>
    <xf numFmtId="0" fontId="0" fillId="4" borderId="5" xfId="0" applyFill="1" applyBorder="1" applyProtection="1"/>
    <xf numFmtId="0" fontId="0" fillId="4" borderId="4" xfId="0" applyNumberFormat="1" applyFill="1" applyBorder="1" applyProtection="1"/>
    <xf numFmtId="0" fontId="0" fillId="4" borderId="18" xfId="0" applyFill="1" applyBorder="1" applyProtection="1"/>
    <xf numFmtId="0" fontId="0" fillId="4" borderId="12" xfId="0" applyFill="1" applyBorder="1" applyProtection="1"/>
    <xf numFmtId="0" fontId="0" fillId="4" borderId="6" xfId="0" applyFill="1" applyBorder="1" applyProtection="1"/>
    <xf numFmtId="0" fontId="0" fillId="6" borderId="1" xfId="0" applyFill="1" applyBorder="1" applyProtection="1"/>
    <xf numFmtId="0" fontId="0" fillId="6" borderId="0" xfId="0" applyFill="1" applyBorder="1" applyProtection="1"/>
    <xf numFmtId="0" fontId="0" fillId="6" borderId="4" xfId="0" applyFill="1" applyBorder="1" applyProtection="1"/>
    <xf numFmtId="0" fontId="0" fillId="4" borderId="0" xfId="0" applyFill="1" applyBorder="1" applyProtection="1"/>
    <xf numFmtId="0" fontId="16" fillId="4" borderId="0" xfId="0" applyNumberFormat="1" applyFont="1" applyFill="1" applyBorder="1" applyAlignment="1" applyProtection="1">
      <alignment horizontal="center"/>
    </xf>
    <xf numFmtId="0" fontId="0" fillId="6" borderId="60" xfId="0" applyFill="1" applyBorder="1" applyProtection="1"/>
    <xf numFmtId="0" fontId="0" fillId="6" borderId="61" xfId="0" applyFill="1" applyBorder="1" applyProtection="1"/>
    <xf numFmtId="0" fontId="2" fillId="6" borderId="61" xfId="0" applyNumberFormat="1" applyFont="1" applyFill="1" applyBorder="1" applyProtection="1"/>
    <xf numFmtId="0" fontId="2" fillId="4" borderId="0" xfId="0" applyNumberFormat="1" applyFont="1" applyFill="1" applyBorder="1" applyProtection="1"/>
    <xf numFmtId="0" fontId="2" fillId="6" borderId="0" xfId="0" applyNumberFormat="1" applyFont="1" applyFill="1" applyBorder="1" applyProtection="1"/>
    <xf numFmtId="0" fontId="0" fillId="6" borderId="4" xfId="0" applyNumberFormat="1" applyFill="1" applyBorder="1" applyProtection="1"/>
    <xf numFmtId="0" fontId="2" fillId="4" borderId="1" xfId="0" applyFont="1" applyFill="1" applyBorder="1" applyProtection="1"/>
    <xf numFmtId="1" fontId="2" fillId="4" borderId="0" xfId="0" quotePrefix="1" applyNumberFormat="1" applyFont="1" applyFill="1" applyBorder="1" applyAlignment="1" applyProtection="1">
      <alignment horizontal="center"/>
    </xf>
    <xf numFmtId="0" fontId="4" fillId="4" borderId="62" xfId="0" applyFont="1" applyFill="1" applyBorder="1" applyProtection="1"/>
    <xf numFmtId="0" fontId="0" fillId="4" borderId="30" xfId="0" applyFill="1" applyBorder="1" applyProtection="1"/>
    <xf numFmtId="0" fontId="2" fillId="4" borderId="30" xfId="0" applyNumberFormat="1" applyFont="1" applyFill="1" applyBorder="1" applyProtection="1"/>
    <xf numFmtId="0" fontId="0" fillId="4" borderId="63" xfId="0" applyNumberFormat="1" applyFill="1" applyBorder="1" applyProtection="1"/>
    <xf numFmtId="0" fontId="4" fillId="4" borderId="1" xfId="0" applyFont="1" applyFill="1" applyBorder="1" applyProtection="1"/>
    <xf numFmtId="0" fontId="0" fillId="4" borderId="0" xfId="0" applyFill="1" applyProtection="1"/>
    <xf numFmtId="0" fontId="2" fillId="4" borderId="64" xfId="0" applyFont="1" applyFill="1" applyBorder="1" applyProtection="1"/>
    <xf numFmtId="0" fontId="0" fillId="4" borderId="7" xfId="0" applyFill="1" applyBorder="1" applyProtection="1"/>
    <xf numFmtId="1" fontId="2" fillId="4" borderId="7" xfId="0" quotePrefix="1" applyNumberFormat="1" applyFont="1" applyFill="1" applyBorder="1" applyAlignment="1" applyProtection="1">
      <alignment horizontal="center"/>
    </xf>
    <xf numFmtId="1" fontId="0" fillId="4" borderId="8" xfId="0" applyNumberFormat="1" applyFill="1" applyBorder="1" applyProtection="1"/>
    <xf numFmtId="0" fontId="30" fillId="4" borderId="11" xfId="0" applyFont="1" applyFill="1" applyBorder="1" applyProtection="1">
      <protection locked="0"/>
    </xf>
    <xf numFmtId="0" fontId="0" fillId="4" borderId="50" xfId="0" applyFill="1" applyBorder="1" applyProtection="1">
      <protection locked="0"/>
    </xf>
    <xf numFmtId="0" fontId="4" fillId="6" borderId="0" xfId="0" applyFont="1" applyFill="1"/>
    <xf numFmtId="0" fontId="4" fillId="6" borderId="1" xfId="0" applyFont="1" applyFill="1" applyBorder="1" applyProtection="1"/>
    <xf numFmtId="0" fontId="0" fillId="6" borderId="0" xfId="0" applyFill="1" applyProtection="1"/>
    <xf numFmtId="0" fontId="0" fillId="0" borderId="0" xfId="0" applyFill="1"/>
    <xf numFmtId="0" fontId="24" fillId="0" borderId="0" xfId="0" applyFont="1"/>
    <xf numFmtId="0" fontId="0" fillId="0" borderId="0" xfId="0" applyAlignment="1">
      <alignment horizontal="left" indent="1"/>
    </xf>
    <xf numFmtId="0" fontId="2" fillId="6" borderId="65" xfId="0" applyNumberFormat="1" applyFont="1" applyFill="1" applyBorder="1" applyProtection="1"/>
    <xf numFmtId="0" fontId="2" fillId="4" borderId="4" xfId="0" applyNumberFormat="1" applyFont="1" applyFill="1" applyBorder="1" applyProtection="1"/>
    <xf numFmtId="0" fontId="2" fillId="6" borderId="4" xfId="0" applyNumberFormat="1" applyFont="1" applyFill="1" applyBorder="1" applyProtection="1"/>
    <xf numFmtId="1" fontId="0" fillId="4" borderId="4" xfId="0" applyNumberFormat="1" applyFill="1" applyBorder="1" applyProtection="1"/>
    <xf numFmtId="0" fontId="2" fillId="0" borderId="0" xfId="0" applyFont="1"/>
    <xf numFmtId="0" fontId="29" fillId="0" borderId="0" xfId="0" applyFont="1" applyFill="1" applyBorder="1"/>
    <xf numFmtId="0" fontId="31" fillId="0" borderId="0" xfId="0" applyFont="1" applyFill="1" applyBorder="1"/>
    <xf numFmtId="165" fontId="29" fillId="0" borderId="0" xfId="0" applyNumberFormat="1" applyFont="1" applyBorder="1"/>
    <xf numFmtId="165" fontId="28" fillId="0" borderId="0" xfId="0" applyNumberFormat="1" applyFont="1" applyBorder="1"/>
    <xf numFmtId="0" fontId="32" fillId="5" borderId="5" xfId="0" applyFont="1" applyFill="1" applyBorder="1" applyAlignment="1" applyProtection="1">
      <alignment horizontal="left" vertical="center"/>
      <protection locked="0"/>
    </xf>
    <xf numFmtId="0" fontId="7" fillId="2" borderId="66" xfId="0" applyFont="1" applyFill="1" applyBorder="1" applyAlignment="1" applyProtection="1">
      <protection locked="0"/>
    </xf>
    <xf numFmtId="0" fontId="7" fillId="2" borderId="67" xfId="0" applyFont="1" applyFill="1" applyBorder="1" applyAlignment="1" applyProtection="1">
      <protection locked="0"/>
    </xf>
    <xf numFmtId="0" fontId="0" fillId="2" borderId="68" xfId="0" applyFill="1" applyBorder="1" applyProtection="1">
      <protection locked="0"/>
    </xf>
    <xf numFmtId="0" fontId="4" fillId="2" borderId="69" xfId="0" applyFont="1" applyFill="1" applyBorder="1" applyProtection="1">
      <protection locked="0"/>
    </xf>
    <xf numFmtId="0" fontId="7" fillId="0" borderId="5" xfId="0" applyFont="1" applyFill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4" fillId="0" borderId="9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 vertical="top"/>
      <protection locked="0"/>
    </xf>
    <xf numFmtId="0" fontId="2" fillId="0" borderId="9" xfId="0" applyFont="1" applyBorder="1" applyAlignment="1" applyProtection="1">
      <alignment horizontal="left"/>
      <protection locked="0"/>
    </xf>
    <xf numFmtId="0" fontId="15" fillId="0" borderId="9" xfId="0" applyFont="1" applyFill="1" applyBorder="1" applyAlignment="1" applyProtection="1">
      <alignment horizontal="centerContinuous"/>
      <protection locked="0"/>
    </xf>
    <xf numFmtId="0" fontId="2" fillId="0" borderId="9" xfId="0" applyFont="1" applyBorder="1" applyProtection="1">
      <protection locked="0"/>
    </xf>
    <xf numFmtId="0" fontId="0" fillId="0" borderId="17" xfId="0" applyFill="1" applyBorder="1" applyAlignment="1" applyProtection="1">
      <alignment horizontal="right"/>
      <protection locked="0"/>
    </xf>
    <xf numFmtId="0" fontId="0" fillId="0" borderId="17" xfId="0" applyFill="1" applyBorder="1" applyProtection="1">
      <protection locked="0"/>
    </xf>
    <xf numFmtId="0" fontId="2" fillId="0" borderId="17" xfId="0" applyFont="1" applyBorder="1" applyProtection="1">
      <protection locked="0"/>
    </xf>
    <xf numFmtId="0" fontId="2" fillId="0" borderId="27" xfId="0" applyFont="1" applyBorder="1" applyProtection="1">
      <protection locked="0"/>
    </xf>
    <xf numFmtId="0" fontId="6" fillId="2" borderId="17" xfId="0" applyFont="1" applyFill="1" applyBorder="1" applyProtection="1">
      <protection locked="0"/>
    </xf>
    <xf numFmtId="0" fontId="6" fillId="2" borderId="24" xfId="0" applyFont="1" applyFill="1" applyBorder="1" applyProtection="1">
      <protection locked="0"/>
    </xf>
    <xf numFmtId="0" fontId="9" fillId="0" borderId="5" xfId="0" applyFont="1" applyBorder="1" applyAlignment="1" applyProtection="1">
      <alignment horizontal="left" vertical="center"/>
      <protection locked="0"/>
    </xf>
    <xf numFmtId="0" fontId="33" fillId="0" borderId="0" xfId="0" applyFont="1"/>
    <xf numFmtId="0" fontId="16" fillId="0" borderId="0" xfId="0" applyFont="1"/>
    <xf numFmtId="0" fontId="29" fillId="0" borderId="70" xfId="0" applyFont="1" applyBorder="1" applyProtection="1">
      <protection locked="0"/>
    </xf>
    <xf numFmtId="0" fontId="4" fillId="6" borderId="60" xfId="0" applyFont="1" applyFill="1" applyBorder="1" applyProtection="1"/>
    <xf numFmtId="0" fontId="0" fillId="6" borderId="65" xfId="0" applyNumberFormat="1" applyFill="1" applyBorder="1" applyProtection="1"/>
    <xf numFmtId="0" fontId="27" fillId="0" borderId="41" xfId="0" applyFont="1" applyFill="1" applyBorder="1" applyAlignment="1">
      <alignment horizontal="center"/>
    </xf>
    <xf numFmtId="0" fontId="2" fillId="0" borderId="71" xfId="0" applyFont="1" applyFill="1" applyBorder="1" applyAlignment="1" applyProtection="1">
      <alignment horizontal="left" indent="1"/>
    </xf>
    <xf numFmtId="0" fontId="28" fillId="0" borderId="2" xfId="0" applyFont="1" applyBorder="1" applyProtection="1"/>
    <xf numFmtId="0" fontId="0" fillId="0" borderId="0" xfId="0" applyProtection="1">
      <protection locked="0"/>
    </xf>
    <xf numFmtId="20" fontId="1" fillId="0" borderId="28" xfId="0" applyNumberFormat="1" applyFont="1" applyBorder="1" applyProtection="1">
      <protection locked="0"/>
    </xf>
    <xf numFmtId="166" fontId="2" fillId="0" borderId="11" xfId="0" applyNumberFormat="1" applyFont="1" applyBorder="1" applyProtection="1">
      <protection locked="0"/>
    </xf>
    <xf numFmtId="2" fontId="2" fillId="4" borderId="11" xfId="0" applyNumberFormat="1" applyFont="1" applyFill="1" applyBorder="1" applyProtection="1"/>
    <xf numFmtId="2" fontId="4" fillId="4" borderId="4" xfId="0" applyNumberFormat="1" applyFont="1" applyFill="1" applyBorder="1" applyProtection="1"/>
    <xf numFmtId="166" fontId="2" fillId="4" borderId="20" xfId="0" applyNumberFormat="1" applyFont="1" applyFill="1" applyBorder="1" applyProtection="1"/>
    <xf numFmtId="166" fontId="0" fillId="4" borderId="4" xfId="0" applyNumberFormat="1" applyFill="1" applyBorder="1" applyProtection="1"/>
    <xf numFmtId="0" fontId="7" fillId="5" borderId="68" xfId="0" applyFont="1" applyFill="1" applyBorder="1" applyAlignment="1" applyProtection="1">
      <alignment horizontal="right" vertical="top"/>
      <protection locked="0"/>
    </xf>
    <xf numFmtId="0" fontId="4" fillId="5" borderId="5" xfId="0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0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7" fillId="3" borderId="9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7" fillId="0" borderId="72" xfId="0" applyFont="1" applyFill="1" applyBorder="1" applyAlignment="1">
      <alignment horizontal="left"/>
    </xf>
    <xf numFmtId="0" fontId="27" fillId="0" borderId="7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02034553174662E-2"/>
          <c:y val="0.21590988958144525"/>
          <c:w val="0.91727173286399732"/>
          <c:h val="0.50757763515637999"/>
        </c:manualLayout>
      </c:layout>
      <c:scatterChart>
        <c:scatterStyle val="lineMarker"/>
        <c:varyColors val="0"/>
        <c:ser>
          <c:idx val="0"/>
          <c:order val="0"/>
          <c:tx>
            <c:v>UCL</c:v>
          </c:tx>
          <c:spPr>
            <a:ln w="12700">
              <a:solidFill>
                <a:srgbClr val="8080FF"/>
              </a:solidFill>
              <a:prstDash val="sysDash"/>
            </a:ln>
          </c:spPr>
          <c:marker>
            <c:symbol val="none"/>
          </c:marker>
          <c:yVal>
            <c:numRef>
              <c:f>Xbar_R!$C$17:$AA$17</c:f>
              <c:numCache>
                <c:formatCode>General</c:formatCode>
                <c:ptCount val="25"/>
                <c:pt idx="0">
                  <c:v>7.9980000000000002</c:v>
                </c:pt>
                <c:pt idx="1">
                  <c:v>7.9980000000000002</c:v>
                </c:pt>
                <c:pt idx="2">
                  <c:v>7.9980000000000002</c:v>
                </c:pt>
                <c:pt idx="3">
                  <c:v>7.9980000000000002</c:v>
                </c:pt>
                <c:pt idx="4">
                  <c:v>7.9980000000000002</c:v>
                </c:pt>
                <c:pt idx="5">
                  <c:v>#N/A</c:v>
                </c:pt>
                <c:pt idx="6">
                  <c:v>7.9980000000000002</c:v>
                </c:pt>
                <c:pt idx="7">
                  <c:v>7.9980000000000002</c:v>
                </c:pt>
                <c:pt idx="8">
                  <c:v>7.9980000000000002</c:v>
                </c:pt>
                <c:pt idx="9">
                  <c:v>7.9980000000000002</c:v>
                </c:pt>
                <c:pt idx="10">
                  <c:v>7.9980000000000002</c:v>
                </c:pt>
                <c:pt idx="11">
                  <c:v>7.9980000000000002</c:v>
                </c:pt>
                <c:pt idx="12">
                  <c:v>7.9980000000000002</c:v>
                </c:pt>
                <c:pt idx="13">
                  <c:v>7.9980000000000002</c:v>
                </c:pt>
                <c:pt idx="14">
                  <c:v>7.9980000000000002</c:v>
                </c:pt>
                <c:pt idx="15">
                  <c:v>7.9980000000000002</c:v>
                </c:pt>
                <c:pt idx="16">
                  <c:v>7.9980000000000002</c:v>
                </c:pt>
                <c:pt idx="17">
                  <c:v>7.9980000000000002</c:v>
                </c:pt>
                <c:pt idx="18">
                  <c:v>7.9980000000000002</c:v>
                </c:pt>
                <c:pt idx="19">
                  <c:v>7.9980000000000002</c:v>
                </c:pt>
                <c:pt idx="20">
                  <c:v>7.9980000000000002</c:v>
                </c:pt>
                <c:pt idx="21">
                  <c:v>7.9980000000000002</c:v>
                </c:pt>
                <c:pt idx="22">
                  <c:v>7.9980000000000002</c:v>
                </c:pt>
                <c:pt idx="23">
                  <c:v>7.9980000000000002</c:v>
                </c:pt>
                <c:pt idx="24">
                  <c:v>7.9980000000000002</c:v>
                </c:pt>
              </c:numCache>
            </c:numRef>
          </c:yVal>
          <c:smooth val="0"/>
        </c:ser>
        <c:ser>
          <c:idx val="1"/>
          <c:order val="1"/>
          <c:tx>
            <c:v>LCL</c:v>
          </c:tx>
          <c:spPr>
            <a:ln w="12700">
              <a:solidFill>
                <a:srgbClr val="FF00FF"/>
              </a:solidFill>
              <a:prstDash val="sysDash"/>
            </a:ln>
          </c:spPr>
          <c:marker>
            <c:symbol val="none"/>
          </c:marker>
          <c:yVal>
            <c:numRef>
              <c:f>Xbar_R!$C$19:$AA$19</c:f>
              <c:numCache>
                <c:formatCode>General</c:formatCode>
                <c:ptCount val="25"/>
                <c:pt idx="0">
                  <c:v>4.9790000000000001</c:v>
                </c:pt>
                <c:pt idx="1">
                  <c:v>4.9790000000000001</c:v>
                </c:pt>
                <c:pt idx="2">
                  <c:v>4.9790000000000001</c:v>
                </c:pt>
                <c:pt idx="3">
                  <c:v>4.9790000000000001</c:v>
                </c:pt>
                <c:pt idx="4">
                  <c:v>4.9790000000000001</c:v>
                </c:pt>
                <c:pt idx="5">
                  <c:v>#N/A</c:v>
                </c:pt>
                <c:pt idx="6">
                  <c:v>4.9790000000000001</c:v>
                </c:pt>
                <c:pt idx="7">
                  <c:v>4.9790000000000001</c:v>
                </c:pt>
                <c:pt idx="8">
                  <c:v>4.9790000000000001</c:v>
                </c:pt>
                <c:pt idx="9">
                  <c:v>4.9790000000000001</c:v>
                </c:pt>
                <c:pt idx="10">
                  <c:v>4.9790000000000001</c:v>
                </c:pt>
                <c:pt idx="11">
                  <c:v>4.9790000000000001</c:v>
                </c:pt>
                <c:pt idx="12">
                  <c:v>4.9790000000000001</c:v>
                </c:pt>
                <c:pt idx="13">
                  <c:v>4.9790000000000001</c:v>
                </c:pt>
                <c:pt idx="14">
                  <c:v>4.9790000000000001</c:v>
                </c:pt>
                <c:pt idx="15">
                  <c:v>4.9790000000000001</c:v>
                </c:pt>
                <c:pt idx="16">
                  <c:v>4.9790000000000001</c:v>
                </c:pt>
                <c:pt idx="17">
                  <c:v>4.9790000000000001</c:v>
                </c:pt>
                <c:pt idx="18">
                  <c:v>4.9790000000000001</c:v>
                </c:pt>
                <c:pt idx="19">
                  <c:v>4.9790000000000001</c:v>
                </c:pt>
                <c:pt idx="20">
                  <c:v>4.9790000000000001</c:v>
                </c:pt>
                <c:pt idx="21">
                  <c:v>4.9790000000000001</c:v>
                </c:pt>
                <c:pt idx="22">
                  <c:v>4.9790000000000001</c:v>
                </c:pt>
                <c:pt idx="23">
                  <c:v>4.9790000000000001</c:v>
                </c:pt>
                <c:pt idx="24">
                  <c:v>4.9790000000000001</c:v>
                </c:pt>
              </c:numCache>
            </c:numRef>
          </c:yVal>
          <c:smooth val="0"/>
        </c:ser>
        <c:ser>
          <c:idx val="2"/>
          <c:order val="2"/>
          <c:tx>
            <c:v>Average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yVal>
            <c:numRef>
              <c:f>Xbar_R!$C$23:$AA$23</c:f>
              <c:numCache>
                <c:formatCode>General</c:formatCode>
                <c:ptCount val="25"/>
                <c:pt idx="0">
                  <c:v>7.0759999999999996</c:v>
                </c:pt>
                <c:pt idx="1">
                  <c:v>6.0720000000000001</c:v>
                </c:pt>
                <c:pt idx="2">
                  <c:v>6.8780000000000001</c:v>
                </c:pt>
                <c:pt idx="3">
                  <c:v>6.4359999999999999</c:v>
                </c:pt>
                <c:pt idx="4">
                  <c:v>7.7359999999999998</c:v>
                </c:pt>
                <c:pt idx="5">
                  <c:v>#N/A</c:v>
                </c:pt>
                <c:pt idx="6">
                  <c:v>6.51</c:v>
                </c:pt>
                <c:pt idx="7">
                  <c:v>5.91</c:v>
                </c:pt>
                <c:pt idx="8">
                  <c:v>6.0919999999999996</c:v>
                </c:pt>
                <c:pt idx="9">
                  <c:v>7.476</c:v>
                </c:pt>
                <c:pt idx="10">
                  <c:v>7.3019999999999996</c:v>
                </c:pt>
                <c:pt idx="11">
                  <c:v>6.16</c:v>
                </c:pt>
                <c:pt idx="12">
                  <c:v>6.0979999999999999</c:v>
                </c:pt>
                <c:pt idx="13">
                  <c:v>6.1740000000000004</c:v>
                </c:pt>
                <c:pt idx="14">
                  <c:v>6.1319999999999997</c:v>
                </c:pt>
                <c:pt idx="15">
                  <c:v>7.6760000000000002</c:v>
                </c:pt>
                <c:pt idx="16">
                  <c:v>6.1340000000000003</c:v>
                </c:pt>
                <c:pt idx="17">
                  <c:v>5.524</c:v>
                </c:pt>
                <c:pt idx="18">
                  <c:v>6.1420000000000003</c:v>
                </c:pt>
                <c:pt idx="19">
                  <c:v>6.15</c:v>
                </c:pt>
                <c:pt idx="20">
                  <c:v>6.0439999999999996</c:v>
                </c:pt>
                <c:pt idx="21">
                  <c:v>6.73</c:v>
                </c:pt>
                <c:pt idx="22">
                  <c:v>6.0620000000000003</c:v>
                </c:pt>
                <c:pt idx="23">
                  <c:v>6.1059999999999999</c:v>
                </c:pt>
                <c:pt idx="24">
                  <c:v>7.11</c:v>
                </c:pt>
              </c:numCache>
            </c:numRef>
          </c:yVal>
          <c:smooth val="0"/>
        </c:ser>
        <c:ser>
          <c:idx val="3"/>
          <c:order val="3"/>
          <c:tx>
            <c:v>X bar-bar</c:v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yVal>
            <c:numRef>
              <c:f>Xbar_R!$C$21:$AA$21</c:f>
              <c:numCache>
                <c:formatCode>General</c:formatCode>
                <c:ptCount val="25"/>
                <c:pt idx="0">
                  <c:v>6.4889999999999999</c:v>
                </c:pt>
                <c:pt idx="1">
                  <c:v>6.4889999999999999</c:v>
                </c:pt>
                <c:pt idx="2">
                  <c:v>6.4889999999999999</c:v>
                </c:pt>
                <c:pt idx="3">
                  <c:v>6.4889999999999999</c:v>
                </c:pt>
                <c:pt idx="4">
                  <c:v>6.4889999999999999</c:v>
                </c:pt>
                <c:pt idx="5">
                  <c:v>#N/A</c:v>
                </c:pt>
                <c:pt idx="6">
                  <c:v>6.4889999999999999</c:v>
                </c:pt>
                <c:pt idx="7">
                  <c:v>6.4889999999999999</c:v>
                </c:pt>
                <c:pt idx="8">
                  <c:v>6.4889999999999999</c:v>
                </c:pt>
                <c:pt idx="9">
                  <c:v>6.4889999999999999</c:v>
                </c:pt>
                <c:pt idx="10">
                  <c:v>6.4889999999999999</c:v>
                </c:pt>
                <c:pt idx="11">
                  <c:v>6.4889999999999999</c:v>
                </c:pt>
                <c:pt idx="12">
                  <c:v>6.4889999999999999</c:v>
                </c:pt>
                <c:pt idx="13">
                  <c:v>6.4889999999999999</c:v>
                </c:pt>
                <c:pt idx="14">
                  <c:v>6.4889999999999999</c:v>
                </c:pt>
                <c:pt idx="15">
                  <c:v>6.4889999999999999</c:v>
                </c:pt>
                <c:pt idx="16">
                  <c:v>6.4889999999999999</c:v>
                </c:pt>
                <c:pt idx="17">
                  <c:v>6.4889999999999999</c:v>
                </c:pt>
                <c:pt idx="18">
                  <c:v>6.4889999999999999</c:v>
                </c:pt>
                <c:pt idx="19">
                  <c:v>6.4889999999999999</c:v>
                </c:pt>
                <c:pt idx="20">
                  <c:v>6.4889999999999999</c:v>
                </c:pt>
                <c:pt idx="21">
                  <c:v>6.4889999999999999</c:v>
                </c:pt>
                <c:pt idx="22">
                  <c:v>6.4889999999999999</c:v>
                </c:pt>
                <c:pt idx="23">
                  <c:v>6.4889999999999999</c:v>
                </c:pt>
                <c:pt idx="24">
                  <c:v>6.4889999999999999</c:v>
                </c:pt>
              </c:numCache>
            </c:numRef>
          </c:yVal>
          <c:smooth val="0"/>
        </c:ser>
        <c:ser>
          <c:idx val="4"/>
          <c:order val="4"/>
          <c:tx>
            <c:v>Outer Third</c:v>
          </c:tx>
          <c:spPr>
            <a:ln w="12700">
              <a:solidFill>
                <a:schemeClr val="accent6">
                  <a:lumMod val="75000"/>
                </a:schemeClr>
              </a:solidFill>
              <a:prstDash val="lgDashDot"/>
            </a:ln>
          </c:spPr>
          <c:marker>
            <c:symbol val="none"/>
          </c:marker>
          <c:xVal>
            <c:numRef>
              <c:f>'Control Tests'!$C$9:$AA$9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xVal>
          <c:yVal>
            <c:numRef>
              <c:f>'Control Tests'!$C$28:$AA$28</c:f>
              <c:numCache>
                <c:formatCode>0.0000</c:formatCode>
                <c:ptCount val="25"/>
                <c:pt idx="0">
                  <c:v>7.4955030000000002</c:v>
                </c:pt>
                <c:pt idx="1">
                  <c:v>7.4955030000000002</c:v>
                </c:pt>
                <c:pt idx="2">
                  <c:v>7.4955030000000002</c:v>
                </c:pt>
                <c:pt idx="3">
                  <c:v>7.4955030000000002</c:v>
                </c:pt>
                <c:pt idx="4">
                  <c:v>7.4955030000000002</c:v>
                </c:pt>
                <c:pt idx="5">
                  <c:v>#N/A</c:v>
                </c:pt>
                <c:pt idx="6">
                  <c:v>7.4955030000000002</c:v>
                </c:pt>
                <c:pt idx="7">
                  <c:v>7.4955030000000002</c:v>
                </c:pt>
                <c:pt idx="8">
                  <c:v>7.4955030000000002</c:v>
                </c:pt>
                <c:pt idx="9">
                  <c:v>7.4955030000000002</c:v>
                </c:pt>
                <c:pt idx="10">
                  <c:v>7.4955030000000002</c:v>
                </c:pt>
                <c:pt idx="11">
                  <c:v>7.4955030000000002</c:v>
                </c:pt>
                <c:pt idx="12">
                  <c:v>7.4955030000000002</c:v>
                </c:pt>
                <c:pt idx="13">
                  <c:v>7.4955030000000002</c:v>
                </c:pt>
                <c:pt idx="14">
                  <c:v>7.4955030000000002</c:v>
                </c:pt>
                <c:pt idx="15">
                  <c:v>7.4955030000000002</c:v>
                </c:pt>
                <c:pt idx="16">
                  <c:v>7.4955030000000002</c:v>
                </c:pt>
                <c:pt idx="17">
                  <c:v>7.4955030000000002</c:v>
                </c:pt>
                <c:pt idx="18">
                  <c:v>7.4955030000000002</c:v>
                </c:pt>
                <c:pt idx="19">
                  <c:v>7.4955030000000002</c:v>
                </c:pt>
                <c:pt idx="20">
                  <c:v>7.4955030000000002</c:v>
                </c:pt>
                <c:pt idx="21">
                  <c:v>7.4955030000000002</c:v>
                </c:pt>
                <c:pt idx="22">
                  <c:v>7.4955030000000002</c:v>
                </c:pt>
                <c:pt idx="23">
                  <c:v>7.4955030000000002</c:v>
                </c:pt>
                <c:pt idx="24">
                  <c:v>7.4955030000000002</c:v>
                </c:pt>
              </c:numCache>
            </c:numRef>
          </c:yVal>
          <c:smooth val="0"/>
        </c:ser>
        <c:ser>
          <c:idx val="5"/>
          <c:order val="5"/>
          <c:tx>
            <c:v>Middle Third</c:v>
          </c:tx>
          <c:spPr>
            <a:ln w="12700">
              <a:solidFill>
                <a:srgbClr val="7030A0"/>
              </a:solidFill>
              <a:prstDash val="lgDashDot"/>
            </a:ln>
          </c:spPr>
          <c:marker>
            <c:symbol val="none"/>
          </c:marker>
          <c:xVal>
            <c:numRef>
              <c:f>'Control Tests'!$C$9:$AA$9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xVal>
          <c:yVal>
            <c:numRef>
              <c:f>'Control Tests'!$C$30:$AA$30</c:f>
              <c:numCache>
                <c:formatCode>0.0000</c:formatCode>
                <c:ptCount val="25"/>
                <c:pt idx="0">
                  <c:v>6.9914969999999999</c:v>
                </c:pt>
                <c:pt idx="1">
                  <c:v>6.9914969999999999</c:v>
                </c:pt>
                <c:pt idx="2">
                  <c:v>6.9914969999999999</c:v>
                </c:pt>
                <c:pt idx="3">
                  <c:v>6.9914969999999999</c:v>
                </c:pt>
                <c:pt idx="4">
                  <c:v>6.9914969999999999</c:v>
                </c:pt>
                <c:pt idx="5">
                  <c:v>#N/A</c:v>
                </c:pt>
                <c:pt idx="6">
                  <c:v>6.9914969999999999</c:v>
                </c:pt>
                <c:pt idx="7">
                  <c:v>6.9914969999999999</c:v>
                </c:pt>
                <c:pt idx="8">
                  <c:v>6.9914969999999999</c:v>
                </c:pt>
                <c:pt idx="9">
                  <c:v>6.9914969999999999</c:v>
                </c:pt>
                <c:pt idx="10">
                  <c:v>6.9914969999999999</c:v>
                </c:pt>
                <c:pt idx="11">
                  <c:v>6.9914969999999999</c:v>
                </c:pt>
                <c:pt idx="12">
                  <c:v>6.9914969999999999</c:v>
                </c:pt>
                <c:pt idx="13">
                  <c:v>6.9914969999999999</c:v>
                </c:pt>
                <c:pt idx="14">
                  <c:v>6.9914969999999999</c:v>
                </c:pt>
                <c:pt idx="15">
                  <c:v>6.9914969999999999</c:v>
                </c:pt>
                <c:pt idx="16">
                  <c:v>6.9914969999999999</c:v>
                </c:pt>
                <c:pt idx="17">
                  <c:v>6.9914969999999999</c:v>
                </c:pt>
                <c:pt idx="18">
                  <c:v>6.9914969999999999</c:v>
                </c:pt>
                <c:pt idx="19">
                  <c:v>6.9914969999999999</c:v>
                </c:pt>
                <c:pt idx="20">
                  <c:v>6.9914969999999999</c:v>
                </c:pt>
                <c:pt idx="21">
                  <c:v>6.9914969999999999</c:v>
                </c:pt>
                <c:pt idx="22">
                  <c:v>6.9914969999999999</c:v>
                </c:pt>
                <c:pt idx="23">
                  <c:v>6.9914969999999999</c:v>
                </c:pt>
                <c:pt idx="24">
                  <c:v>6.9914969999999999</c:v>
                </c:pt>
              </c:numCache>
            </c:numRef>
          </c:yVal>
          <c:smooth val="0"/>
        </c:ser>
        <c:ser>
          <c:idx val="6"/>
          <c:order val="6"/>
          <c:tx>
            <c:v>Outer Third</c:v>
          </c:tx>
          <c:spPr>
            <a:ln w="12700">
              <a:solidFill>
                <a:schemeClr val="accent6">
                  <a:lumMod val="75000"/>
                </a:schemeClr>
              </a:solidFill>
              <a:prstDash val="lgDashDot"/>
            </a:ln>
          </c:spPr>
          <c:marker>
            <c:symbol val="none"/>
          </c:marker>
          <c:xVal>
            <c:numRef>
              <c:f>'Control Tests'!$C$9:$AA$9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xVal>
          <c:yVal>
            <c:numRef>
              <c:f>'Control Tests'!$C$33:$AA$33</c:f>
              <c:numCache>
                <c:formatCode>0.0000</c:formatCode>
                <c:ptCount val="25"/>
                <c:pt idx="0">
                  <c:v>5.4818300000000004</c:v>
                </c:pt>
                <c:pt idx="1">
                  <c:v>5.4818300000000004</c:v>
                </c:pt>
                <c:pt idx="2">
                  <c:v>5.4818300000000004</c:v>
                </c:pt>
                <c:pt idx="3">
                  <c:v>5.4818300000000004</c:v>
                </c:pt>
                <c:pt idx="4">
                  <c:v>5.4818300000000004</c:v>
                </c:pt>
                <c:pt idx="5">
                  <c:v>#N/A</c:v>
                </c:pt>
                <c:pt idx="6">
                  <c:v>5.4818300000000004</c:v>
                </c:pt>
                <c:pt idx="7">
                  <c:v>5.4818300000000004</c:v>
                </c:pt>
                <c:pt idx="8">
                  <c:v>5.4818300000000004</c:v>
                </c:pt>
                <c:pt idx="9">
                  <c:v>5.4818300000000004</c:v>
                </c:pt>
                <c:pt idx="10">
                  <c:v>5.4818300000000004</c:v>
                </c:pt>
                <c:pt idx="11">
                  <c:v>5.4818300000000004</c:v>
                </c:pt>
                <c:pt idx="12">
                  <c:v>5.4818300000000004</c:v>
                </c:pt>
                <c:pt idx="13">
                  <c:v>5.4818300000000004</c:v>
                </c:pt>
                <c:pt idx="14">
                  <c:v>5.4818300000000004</c:v>
                </c:pt>
                <c:pt idx="15">
                  <c:v>5.4818300000000004</c:v>
                </c:pt>
                <c:pt idx="16">
                  <c:v>5.4818300000000004</c:v>
                </c:pt>
                <c:pt idx="17">
                  <c:v>5.4818300000000004</c:v>
                </c:pt>
                <c:pt idx="18">
                  <c:v>5.4818300000000004</c:v>
                </c:pt>
                <c:pt idx="19">
                  <c:v>5.4818300000000004</c:v>
                </c:pt>
                <c:pt idx="20">
                  <c:v>5.4818300000000004</c:v>
                </c:pt>
                <c:pt idx="21">
                  <c:v>5.4818300000000004</c:v>
                </c:pt>
                <c:pt idx="22">
                  <c:v>5.4818300000000004</c:v>
                </c:pt>
                <c:pt idx="23">
                  <c:v>5.4818300000000004</c:v>
                </c:pt>
                <c:pt idx="24">
                  <c:v>5.4818300000000004</c:v>
                </c:pt>
              </c:numCache>
            </c:numRef>
          </c:yVal>
          <c:smooth val="0"/>
        </c:ser>
        <c:ser>
          <c:idx val="7"/>
          <c:order val="7"/>
          <c:tx>
            <c:v>Middle Third</c:v>
          </c:tx>
          <c:spPr>
            <a:ln w="12700">
              <a:solidFill>
                <a:srgbClr val="7030A0"/>
              </a:solidFill>
              <a:prstDash val="lgDashDot"/>
            </a:ln>
          </c:spPr>
          <c:marker>
            <c:symbol val="none"/>
          </c:marker>
          <c:xVal>
            <c:numRef>
              <c:f>'Control Tests'!$C$9:$AA$9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xVal>
          <c:yVal>
            <c:numRef>
              <c:f>'Control Tests'!$C$35:$AA$35</c:f>
              <c:numCache>
                <c:formatCode>0.0000</c:formatCode>
                <c:ptCount val="25"/>
                <c:pt idx="0">
                  <c:v>5.9861699999999995</c:v>
                </c:pt>
                <c:pt idx="1">
                  <c:v>5.9861699999999995</c:v>
                </c:pt>
                <c:pt idx="2">
                  <c:v>5.9861699999999995</c:v>
                </c:pt>
                <c:pt idx="3">
                  <c:v>5.9861699999999995</c:v>
                </c:pt>
                <c:pt idx="4">
                  <c:v>5.9861699999999995</c:v>
                </c:pt>
                <c:pt idx="5">
                  <c:v>#N/A</c:v>
                </c:pt>
                <c:pt idx="6">
                  <c:v>5.9861699999999995</c:v>
                </c:pt>
                <c:pt idx="7">
                  <c:v>5.9861699999999995</c:v>
                </c:pt>
                <c:pt idx="8">
                  <c:v>5.9861699999999995</c:v>
                </c:pt>
                <c:pt idx="9">
                  <c:v>5.9861699999999995</c:v>
                </c:pt>
                <c:pt idx="10">
                  <c:v>5.9861699999999995</c:v>
                </c:pt>
                <c:pt idx="11">
                  <c:v>5.9861699999999995</c:v>
                </c:pt>
                <c:pt idx="12">
                  <c:v>5.9861699999999995</c:v>
                </c:pt>
                <c:pt idx="13">
                  <c:v>5.9861699999999995</c:v>
                </c:pt>
                <c:pt idx="14">
                  <c:v>5.9861699999999995</c:v>
                </c:pt>
                <c:pt idx="15">
                  <c:v>5.9861699999999995</c:v>
                </c:pt>
                <c:pt idx="16">
                  <c:v>5.9861699999999995</c:v>
                </c:pt>
                <c:pt idx="17">
                  <c:v>5.9861699999999995</c:v>
                </c:pt>
                <c:pt idx="18">
                  <c:v>5.9861699999999995</c:v>
                </c:pt>
                <c:pt idx="19">
                  <c:v>5.9861699999999995</c:v>
                </c:pt>
                <c:pt idx="20">
                  <c:v>5.9861699999999995</c:v>
                </c:pt>
                <c:pt idx="21">
                  <c:v>5.9861699999999995</c:v>
                </c:pt>
                <c:pt idx="22">
                  <c:v>5.9861699999999995</c:v>
                </c:pt>
                <c:pt idx="23">
                  <c:v>5.9861699999999995</c:v>
                </c:pt>
                <c:pt idx="24">
                  <c:v>5.9861699999999995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5849432"/>
        <c:axId val="245849040"/>
      </c:scatterChart>
      <c:valAx>
        <c:axId val="245849432"/>
        <c:scaling>
          <c:orientation val="minMax"/>
          <c:max val="25"/>
          <c:min val="1"/>
        </c:scaling>
        <c:delete val="0"/>
        <c:axPos val="b"/>
        <c:majorGridlines>
          <c:spPr>
            <a:ln w="3175">
              <a:noFill/>
              <a:prstDash val="sysDash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5849040"/>
        <c:crosses val="autoZero"/>
        <c:crossBetween val="midCat"/>
        <c:majorUnit val="1"/>
      </c:valAx>
      <c:valAx>
        <c:axId val="245849040"/>
        <c:scaling>
          <c:orientation val="minMax"/>
          <c:min val="4"/>
        </c:scaling>
        <c:delete val="0"/>
        <c:axPos val="l"/>
        <c:minorGridlines>
          <c:spPr>
            <a:ln w="3175">
              <a:noFill/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X-bar</a:t>
                </a:r>
              </a:p>
            </c:rich>
          </c:tx>
          <c:layout>
            <c:manualLayout>
              <c:xMode val="edge"/>
              <c:yMode val="edge"/>
              <c:x val="2.2024225581427994E-2"/>
              <c:y val="0.409092499801161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5849432"/>
        <c:crosses val="autoZero"/>
        <c:crossBetween val="midCat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b"/>
      <c:legendEntry>
        <c:idx val="2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36574761246281079"/>
          <c:y val="0.84848802990535277"/>
          <c:w val="0.23512344338670293"/>
          <c:h val="8.333373101089636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03964098728494E-2"/>
          <c:y val="0.37656903765690375"/>
          <c:w val="0.93792071802543009"/>
          <c:h val="0.25523012552301255"/>
        </c:manualLayout>
      </c:layout>
      <c:lineChart>
        <c:grouping val="standard"/>
        <c:varyColors val="0"/>
        <c:ser>
          <c:idx val="2"/>
          <c:order val="0"/>
          <c:tx>
            <c:v>UCL</c:v>
          </c:tx>
          <c:spPr>
            <a:ln w="12700">
              <a:solidFill>
                <a:schemeClr val="accent1"/>
              </a:solidFill>
              <a:prstDash val="sysDash"/>
            </a:ln>
          </c:spPr>
          <c:marker>
            <c:symbol val="none"/>
          </c:marker>
          <c:val>
            <c:numRef>
              <c:f>Xbar_R!$C$26:$AA$26</c:f>
              <c:numCache>
                <c:formatCode>General</c:formatCode>
                <c:ptCount val="25"/>
                <c:pt idx="0">
                  <c:v>5.532</c:v>
                </c:pt>
                <c:pt idx="1">
                  <c:v>5.532</c:v>
                </c:pt>
                <c:pt idx="2">
                  <c:v>5.532</c:v>
                </c:pt>
                <c:pt idx="3">
                  <c:v>5.532</c:v>
                </c:pt>
                <c:pt idx="4">
                  <c:v>5.532</c:v>
                </c:pt>
                <c:pt idx="5">
                  <c:v>#N/A</c:v>
                </c:pt>
                <c:pt idx="6">
                  <c:v>5.532</c:v>
                </c:pt>
                <c:pt idx="7">
                  <c:v>5.532</c:v>
                </c:pt>
                <c:pt idx="8">
                  <c:v>5.532</c:v>
                </c:pt>
                <c:pt idx="9">
                  <c:v>5.532</c:v>
                </c:pt>
                <c:pt idx="10">
                  <c:v>5.532</c:v>
                </c:pt>
                <c:pt idx="11">
                  <c:v>5.532</c:v>
                </c:pt>
                <c:pt idx="12">
                  <c:v>5.532</c:v>
                </c:pt>
                <c:pt idx="13">
                  <c:v>5.532</c:v>
                </c:pt>
                <c:pt idx="14">
                  <c:v>5.532</c:v>
                </c:pt>
                <c:pt idx="15">
                  <c:v>5.532</c:v>
                </c:pt>
                <c:pt idx="16">
                  <c:v>5.532</c:v>
                </c:pt>
                <c:pt idx="17">
                  <c:v>5.532</c:v>
                </c:pt>
                <c:pt idx="18">
                  <c:v>5.532</c:v>
                </c:pt>
                <c:pt idx="19">
                  <c:v>5.532</c:v>
                </c:pt>
                <c:pt idx="20">
                  <c:v>5.532</c:v>
                </c:pt>
                <c:pt idx="21">
                  <c:v>5.532</c:v>
                </c:pt>
                <c:pt idx="22">
                  <c:v>5.532</c:v>
                </c:pt>
                <c:pt idx="23">
                  <c:v>5.532</c:v>
                </c:pt>
                <c:pt idx="24">
                  <c:v>5.532</c:v>
                </c:pt>
              </c:numCache>
            </c:numRef>
          </c:val>
          <c:smooth val="0"/>
        </c:ser>
        <c:ser>
          <c:idx val="3"/>
          <c:order val="1"/>
          <c:tx>
            <c:v>LCL</c:v>
          </c:tx>
          <c:spPr>
            <a:ln w="12700">
              <a:solidFill>
                <a:srgbClr val="FF00FF"/>
              </a:solidFill>
              <a:prstDash val="sysDash"/>
            </a:ln>
          </c:spPr>
          <c:marker>
            <c:symbol val="none"/>
          </c:marker>
          <c:val>
            <c:numRef>
              <c:f>Xbar_R!$C$28:$AA$28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#N/A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smooth val="0"/>
        </c:ser>
        <c:ser>
          <c:idx val="0"/>
          <c:order val="2"/>
          <c:tx>
            <c:v>Range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Xbar_R!$C$32:$AA$32</c:f>
              <c:numCache>
                <c:formatCode>General</c:formatCode>
                <c:ptCount val="25"/>
                <c:pt idx="0">
                  <c:v>3.0699999999999994</c:v>
                </c:pt>
                <c:pt idx="1">
                  <c:v>2.9799999999999995</c:v>
                </c:pt>
                <c:pt idx="2">
                  <c:v>4.3100000000000005</c:v>
                </c:pt>
                <c:pt idx="3">
                  <c:v>3.37</c:v>
                </c:pt>
                <c:pt idx="4">
                  <c:v>1.92</c:v>
                </c:pt>
                <c:pt idx="5">
                  <c:v>#N/A</c:v>
                </c:pt>
                <c:pt idx="6">
                  <c:v>2.5900000000000007</c:v>
                </c:pt>
                <c:pt idx="7">
                  <c:v>2.1399999999999997</c:v>
                </c:pt>
                <c:pt idx="8">
                  <c:v>3.1100000000000012</c:v>
                </c:pt>
                <c:pt idx="9">
                  <c:v>1.1499999999999995</c:v>
                </c:pt>
                <c:pt idx="10">
                  <c:v>1.2800000000000011</c:v>
                </c:pt>
                <c:pt idx="11">
                  <c:v>3.4099999999999993</c:v>
                </c:pt>
                <c:pt idx="12">
                  <c:v>3.2199999999999998</c:v>
                </c:pt>
                <c:pt idx="13">
                  <c:v>1.8500000000000005</c:v>
                </c:pt>
                <c:pt idx="14">
                  <c:v>3.0600000000000005</c:v>
                </c:pt>
                <c:pt idx="15">
                  <c:v>1.08</c:v>
                </c:pt>
                <c:pt idx="16">
                  <c:v>3.29</c:v>
                </c:pt>
                <c:pt idx="17">
                  <c:v>1.4000000000000004</c:v>
                </c:pt>
                <c:pt idx="18">
                  <c:v>3.33</c:v>
                </c:pt>
                <c:pt idx="19">
                  <c:v>3.2700000000000014</c:v>
                </c:pt>
                <c:pt idx="20">
                  <c:v>3.2799999999999994</c:v>
                </c:pt>
                <c:pt idx="21">
                  <c:v>2.1099999999999994</c:v>
                </c:pt>
                <c:pt idx="22">
                  <c:v>3.0600000000000005</c:v>
                </c:pt>
                <c:pt idx="23">
                  <c:v>3.4399999999999995</c:v>
                </c:pt>
                <c:pt idx="24">
                  <c:v>1.0499999999999998</c:v>
                </c:pt>
              </c:numCache>
            </c:numRef>
          </c:val>
          <c:smooth val="0"/>
        </c:ser>
        <c:ser>
          <c:idx val="1"/>
          <c:order val="3"/>
          <c:tx>
            <c:v>R bar</c:v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val>
            <c:numRef>
              <c:f>Xbar_R!$C$30:$AA$30</c:f>
              <c:numCache>
                <c:formatCode>General</c:formatCode>
                <c:ptCount val="25"/>
                <c:pt idx="0">
                  <c:v>2.62</c:v>
                </c:pt>
                <c:pt idx="1">
                  <c:v>2.62</c:v>
                </c:pt>
                <c:pt idx="2">
                  <c:v>2.62</c:v>
                </c:pt>
                <c:pt idx="3">
                  <c:v>2.62</c:v>
                </c:pt>
                <c:pt idx="4">
                  <c:v>2.62</c:v>
                </c:pt>
                <c:pt idx="5">
                  <c:v>#N/A</c:v>
                </c:pt>
                <c:pt idx="6">
                  <c:v>2.62</c:v>
                </c:pt>
                <c:pt idx="7">
                  <c:v>2.62</c:v>
                </c:pt>
                <c:pt idx="8">
                  <c:v>2.62</c:v>
                </c:pt>
                <c:pt idx="9">
                  <c:v>2.62</c:v>
                </c:pt>
                <c:pt idx="10">
                  <c:v>2.62</c:v>
                </c:pt>
                <c:pt idx="11">
                  <c:v>2.62</c:v>
                </c:pt>
                <c:pt idx="12">
                  <c:v>2.62</c:v>
                </c:pt>
                <c:pt idx="13">
                  <c:v>2.62</c:v>
                </c:pt>
                <c:pt idx="14">
                  <c:v>2.62</c:v>
                </c:pt>
                <c:pt idx="15">
                  <c:v>2.62</c:v>
                </c:pt>
                <c:pt idx="16">
                  <c:v>2.62</c:v>
                </c:pt>
                <c:pt idx="17">
                  <c:v>2.62</c:v>
                </c:pt>
                <c:pt idx="18">
                  <c:v>2.62</c:v>
                </c:pt>
                <c:pt idx="19">
                  <c:v>2.62</c:v>
                </c:pt>
                <c:pt idx="20">
                  <c:v>2.62</c:v>
                </c:pt>
                <c:pt idx="21">
                  <c:v>2.62</c:v>
                </c:pt>
                <c:pt idx="22">
                  <c:v>2.62</c:v>
                </c:pt>
                <c:pt idx="23">
                  <c:v>2.62</c:v>
                </c:pt>
                <c:pt idx="24">
                  <c:v>2.62</c:v>
                </c:pt>
              </c:numCache>
            </c:numRef>
          </c:val>
          <c:smooth val="0"/>
        </c:ser>
        <c:ser>
          <c:idx val="4"/>
          <c:order val="4"/>
          <c:tx>
            <c:v>Outer</c:v>
          </c:tx>
          <c:spPr>
            <a:ln w="12700">
              <a:solidFill>
                <a:schemeClr val="accent6"/>
              </a:solidFill>
              <a:prstDash val="lgDashDot"/>
            </a:ln>
          </c:spPr>
          <c:marker>
            <c:symbol val="none"/>
          </c:marker>
          <c:val>
            <c:numRef>
              <c:f>'Control Tests'!$C$40:$AA$40</c:f>
              <c:numCache>
                <c:formatCode>General</c:formatCode>
                <c:ptCount val="25"/>
                <c:pt idx="0">
                  <c:v>4.5623040000000001</c:v>
                </c:pt>
                <c:pt idx="1">
                  <c:v>4.5623040000000001</c:v>
                </c:pt>
                <c:pt idx="2">
                  <c:v>4.5623040000000001</c:v>
                </c:pt>
                <c:pt idx="3">
                  <c:v>4.5623040000000001</c:v>
                </c:pt>
                <c:pt idx="4">
                  <c:v>4.5623040000000001</c:v>
                </c:pt>
                <c:pt idx="5">
                  <c:v>#N/A</c:v>
                </c:pt>
                <c:pt idx="6">
                  <c:v>4.5623040000000001</c:v>
                </c:pt>
                <c:pt idx="7">
                  <c:v>4.5623040000000001</c:v>
                </c:pt>
                <c:pt idx="8">
                  <c:v>4.5623040000000001</c:v>
                </c:pt>
                <c:pt idx="9">
                  <c:v>4.5623040000000001</c:v>
                </c:pt>
                <c:pt idx="10">
                  <c:v>4.5623040000000001</c:v>
                </c:pt>
                <c:pt idx="11">
                  <c:v>4.5623040000000001</c:v>
                </c:pt>
                <c:pt idx="12">
                  <c:v>4.5623040000000001</c:v>
                </c:pt>
                <c:pt idx="13">
                  <c:v>4.5623040000000001</c:v>
                </c:pt>
                <c:pt idx="14">
                  <c:v>4.5623040000000001</c:v>
                </c:pt>
                <c:pt idx="15">
                  <c:v>4.5623040000000001</c:v>
                </c:pt>
                <c:pt idx="16">
                  <c:v>4.5623040000000001</c:v>
                </c:pt>
                <c:pt idx="17">
                  <c:v>4.5623040000000001</c:v>
                </c:pt>
                <c:pt idx="18">
                  <c:v>4.5623040000000001</c:v>
                </c:pt>
                <c:pt idx="19">
                  <c:v>4.5623040000000001</c:v>
                </c:pt>
                <c:pt idx="20">
                  <c:v>4.5623040000000001</c:v>
                </c:pt>
                <c:pt idx="21">
                  <c:v>4.5623040000000001</c:v>
                </c:pt>
                <c:pt idx="22">
                  <c:v>4.5623040000000001</c:v>
                </c:pt>
                <c:pt idx="23">
                  <c:v>4.5623040000000001</c:v>
                </c:pt>
                <c:pt idx="24">
                  <c:v>4.5623040000000001</c:v>
                </c:pt>
              </c:numCache>
            </c:numRef>
          </c:val>
          <c:smooth val="0"/>
        </c:ser>
        <c:ser>
          <c:idx val="5"/>
          <c:order val="5"/>
          <c:tx>
            <c:v>Middle</c:v>
          </c:tx>
          <c:spPr>
            <a:ln w="12700">
              <a:solidFill>
                <a:srgbClr val="7030A0"/>
              </a:solidFill>
              <a:prstDash val="lgDashDot"/>
            </a:ln>
          </c:spPr>
          <c:marker>
            <c:symbol val="none"/>
          </c:marker>
          <c:val>
            <c:numRef>
              <c:f>'Control Tests'!$C$42:$AA$42</c:f>
              <c:numCache>
                <c:formatCode>General</c:formatCode>
                <c:ptCount val="25"/>
                <c:pt idx="0">
                  <c:v>3.589696</c:v>
                </c:pt>
                <c:pt idx="1">
                  <c:v>3.589696</c:v>
                </c:pt>
                <c:pt idx="2">
                  <c:v>3.589696</c:v>
                </c:pt>
                <c:pt idx="3">
                  <c:v>3.589696</c:v>
                </c:pt>
                <c:pt idx="4">
                  <c:v>3.589696</c:v>
                </c:pt>
                <c:pt idx="5">
                  <c:v>#N/A</c:v>
                </c:pt>
                <c:pt idx="6">
                  <c:v>3.589696</c:v>
                </c:pt>
                <c:pt idx="7">
                  <c:v>3.589696</c:v>
                </c:pt>
                <c:pt idx="8">
                  <c:v>3.589696</c:v>
                </c:pt>
                <c:pt idx="9">
                  <c:v>3.589696</c:v>
                </c:pt>
                <c:pt idx="10">
                  <c:v>3.589696</c:v>
                </c:pt>
                <c:pt idx="11">
                  <c:v>3.589696</c:v>
                </c:pt>
                <c:pt idx="12">
                  <c:v>3.589696</c:v>
                </c:pt>
                <c:pt idx="13">
                  <c:v>3.589696</c:v>
                </c:pt>
                <c:pt idx="14">
                  <c:v>3.589696</c:v>
                </c:pt>
                <c:pt idx="15">
                  <c:v>3.589696</c:v>
                </c:pt>
                <c:pt idx="16">
                  <c:v>3.589696</c:v>
                </c:pt>
                <c:pt idx="17">
                  <c:v>3.589696</c:v>
                </c:pt>
                <c:pt idx="18">
                  <c:v>3.589696</c:v>
                </c:pt>
                <c:pt idx="19">
                  <c:v>3.589696</c:v>
                </c:pt>
                <c:pt idx="20">
                  <c:v>3.589696</c:v>
                </c:pt>
                <c:pt idx="21">
                  <c:v>3.589696</c:v>
                </c:pt>
                <c:pt idx="22">
                  <c:v>3.589696</c:v>
                </c:pt>
                <c:pt idx="23">
                  <c:v>3.589696</c:v>
                </c:pt>
                <c:pt idx="24">
                  <c:v>3.589696</c:v>
                </c:pt>
              </c:numCache>
            </c:numRef>
          </c:val>
          <c:smooth val="0"/>
        </c:ser>
        <c:ser>
          <c:idx val="6"/>
          <c:order val="6"/>
          <c:tx>
            <c:v>Outer</c:v>
          </c:tx>
          <c:spPr>
            <a:ln w="12700">
              <a:solidFill>
                <a:schemeClr val="accent6"/>
              </a:solidFill>
              <a:prstDash val="lgDashDot"/>
            </a:ln>
          </c:spPr>
          <c:marker>
            <c:symbol val="none"/>
          </c:marker>
          <c:val>
            <c:numRef>
              <c:f>'Control Tests'!$C$45:$AA$45</c:f>
              <c:numCache>
                <c:formatCode>General</c:formatCode>
                <c:ptCount val="25"/>
                <c:pt idx="0">
                  <c:v>0.87246000000000001</c:v>
                </c:pt>
                <c:pt idx="1">
                  <c:v>0.87246000000000001</c:v>
                </c:pt>
                <c:pt idx="2">
                  <c:v>0.87246000000000001</c:v>
                </c:pt>
                <c:pt idx="3">
                  <c:v>0.87246000000000001</c:v>
                </c:pt>
                <c:pt idx="4">
                  <c:v>0.87246000000000001</c:v>
                </c:pt>
                <c:pt idx="5">
                  <c:v>#N/A</c:v>
                </c:pt>
                <c:pt idx="6">
                  <c:v>0.87246000000000001</c:v>
                </c:pt>
                <c:pt idx="7">
                  <c:v>0.87246000000000001</c:v>
                </c:pt>
                <c:pt idx="8">
                  <c:v>0.87246000000000001</c:v>
                </c:pt>
                <c:pt idx="9">
                  <c:v>0.87246000000000001</c:v>
                </c:pt>
                <c:pt idx="10">
                  <c:v>0.87246000000000001</c:v>
                </c:pt>
                <c:pt idx="11">
                  <c:v>0.87246000000000001</c:v>
                </c:pt>
                <c:pt idx="12">
                  <c:v>0.87246000000000001</c:v>
                </c:pt>
                <c:pt idx="13">
                  <c:v>0.87246000000000001</c:v>
                </c:pt>
                <c:pt idx="14">
                  <c:v>0.87246000000000001</c:v>
                </c:pt>
                <c:pt idx="15">
                  <c:v>0.87246000000000001</c:v>
                </c:pt>
                <c:pt idx="16">
                  <c:v>0.87246000000000001</c:v>
                </c:pt>
                <c:pt idx="17">
                  <c:v>0.87246000000000001</c:v>
                </c:pt>
                <c:pt idx="18">
                  <c:v>0.87246000000000001</c:v>
                </c:pt>
                <c:pt idx="19">
                  <c:v>0.87246000000000001</c:v>
                </c:pt>
                <c:pt idx="20">
                  <c:v>0.87246000000000001</c:v>
                </c:pt>
                <c:pt idx="21">
                  <c:v>0.87246000000000001</c:v>
                </c:pt>
                <c:pt idx="22">
                  <c:v>0.87246000000000001</c:v>
                </c:pt>
                <c:pt idx="23">
                  <c:v>0.87246000000000001</c:v>
                </c:pt>
                <c:pt idx="24">
                  <c:v>0.87246000000000001</c:v>
                </c:pt>
              </c:numCache>
            </c:numRef>
          </c:val>
          <c:smooth val="0"/>
        </c:ser>
        <c:ser>
          <c:idx val="7"/>
          <c:order val="7"/>
          <c:tx>
            <c:v>Middle</c:v>
          </c:tx>
          <c:spPr>
            <a:ln w="12700">
              <a:solidFill>
                <a:srgbClr val="7030A0"/>
              </a:solidFill>
              <a:prstDash val="lgDashDot"/>
            </a:ln>
          </c:spPr>
          <c:marker>
            <c:symbol val="none"/>
          </c:marker>
          <c:val>
            <c:numRef>
              <c:f>'Control Tests'!$C$47:$AA$47</c:f>
              <c:numCache>
                <c:formatCode>General</c:formatCode>
                <c:ptCount val="25"/>
                <c:pt idx="0">
                  <c:v>1.7475399999999999</c:v>
                </c:pt>
                <c:pt idx="1">
                  <c:v>1.7475399999999999</c:v>
                </c:pt>
                <c:pt idx="2">
                  <c:v>1.7475399999999999</c:v>
                </c:pt>
                <c:pt idx="3">
                  <c:v>1.7475399999999999</c:v>
                </c:pt>
                <c:pt idx="4">
                  <c:v>1.7475399999999999</c:v>
                </c:pt>
                <c:pt idx="5">
                  <c:v>#N/A</c:v>
                </c:pt>
                <c:pt idx="6">
                  <c:v>1.7475399999999999</c:v>
                </c:pt>
                <c:pt idx="7">
                  <c:v>1.7475399999999999</c:v>
                </c:pt>
                <c:pt idx="8">
                  <c:v>1.7475399999999999</c:v>
                </c:pt>
                <c:pt idx="9">
                  <c:v>1.7475399999999999</c:v>
                </c:pt>
                <c:pt idx="10">
                  <c:v>1.7475399999999999</c:v>
                </c:pt>
                <c:pt idx="11">
                  <c:v>1.7475399999999999</c:v>
                </c:pt>
                <c:pt idx="12">
                  <c:v>1.7475399999999999</c:v>
                </c:pt>
                <c:pt idx="13">
                  <c:v>1.7475399999999999</c:v>
                </c:pt>
                <c:pt idx="14">
                  <c:v>1.7475399999999999</c:v>
                </c:pt>
                <c:pt idx="15">
                  <c:v>1.7475399999999999</c:v>
                </c:pt>
                <c:pt idx="16">
                  <c:v>1.7475399999999999</c:v>
                </c:pt>
                <c:pt idx="17">
                  <c:v>1.7475399999999999</c:v>
                </c:pt>
                <c:pt idx="18">
                  <c:v>1.7475399999999999</c:v>
                </c:pt>
                <c:pt idx="19">
                  <c:v>1.7475399999999999</c:v>
                </c:pt>
                <c:pt idx="20">
                  <c:v>1.7475399999999999</c:v>
                </c:pt>
                <c:pt idx="21">
                  <c:v>1.7475399999999999</c:v>
                </c:pt>
                <c:pt idx="22">
                  <c:v>1.7475399999999999</c:v>
                </c:pt>
                <c:pt idx="23">
                  <c:v>1.7475399999999999</c:v>
                </c:pt>
                <c:pt idx="24">
                  <c:v>1.7475399999999999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5850608"/>
        <c:axId val="245851000"/>
      </c:lineChart>
      <c:catAx>
        <c:axId val="245850608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585100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45851000"/>
        <c:scaling>
          <c:orientation val="minMax"/>
        </c:scaling>
        <c:delete val="0"/>
        <c:axPos val="l"/>
        <c:minorGridlines>
          <c:spPr>
            <a:ln w="3175">
              <a:noFill/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R
</a:t>
                </a:r>
              </a:p>
            </c:rich>
          </c:tx>
          <c:layout>
            <c:manualLayout>
              <c:xMode val="edge"/>
              <c:yMode val="edge"/>
              <c:x val="1.4210919970082274E-2"/>
              <c:y val="0.4811715481171547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5850608"/>
        <c:crosses val="autoZero"/>
        <c:crossBetween val="midCat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b"/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0.35153328347045626"/>
          <c:y val="0.76569037656903771"/>
          <c:w val="0.21914734480179504"/>
          <c:h val="9.205020920502093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0"/>
      <c:hPercent val="105"/>
      <c:rotY val="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>
        <c:manualLayout>
          <c:layoutTarget val="inner"/>
          <c:xMode val="edge"/>
          <c:yMode val="edge"/>
          <c:x val="4.3749999999999997E-2"/>
          <c:y val="4.8632218844984802E-2"/>
          <c:w val="0.91249999999999998"/>
          <c:h val="0.73252279635258355"/>
        </c:manualLayout>
      </c:layout>
      <c:area3DChart>
        <c:grouping val="standard"/>
        <c:varyColors val="0"/>
        <c:ser>
          <c:idx val="2"/>
          <c:order val="0"/>
          <c:tx>
            <c:v>Below Lower Spec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Capability!$K$4:$K$316</c:f>
              <c:numCache>
                <c:formatCode>General</c:formatCode>
                <c:ptCount val="313"/>
                <c:pt idx="0">
                  <c:v>2.9805384780739468</c:v>
                </c:pt>
                <c:pt idx="1">
                  <c:v>3.0030270134709087</c:v>
                </c:pt>
                <c:pt idx="3">
                  <c:v>3.0255155488678707</c:v>
                </c:pt>
                <c:pt idx="4">
                  <c:v>3.0480040842648326</c:v>
                </c:pt>
                <c:pt idx="5">
                  <c:v>3.0929811550587565</c:v>
                </c:pt>
                <c:pt idx="6">
                  <c:v>3.1154696904557184</c:v>
                </c:pt>
                <c:pt idx="7">
                  <c:v>3.1379582258526799</c:v>
                </c:pt>
                <c:pt idx="8">
                  <c:v>3.1604467612496419</c:v>
                </c:pt>
                <c:pt idx="9">
                  <c:v>3.1829352966466038</c:v>
                </c:pt>
                <c:pt idx="10">
                  <c:v>3.2054238320435657</c:v>
                </c:pt>
                <c:pt idx="11">
                  <c:v>3.2279123674405277</c:v>
                </c:pt>
                <c:pt idx="12">
                  <c:v>3.2504009028374896</c:v>
                </c:pt>
                <c:pt idx="13">
                  <c:v>3.2728894382344516</c:v>
                </c:pt>
                <c:pt idx="14">
                  <c:v>3.2953779736314135</c:v>
                </c:pt>
                <c:pt idx="15">
                  <c:v>3.3178665090283754</c:v>
                </c:pt>
                <c:pt idx="16">
                  <c:v>3.3403550444253374</c:v>
                </c:pt>
                <c:pt idx="17">
                  <c:v>3.3628435798222993</c:v>
                </c:pt>
                <c:pt idx="18">
                  <c:v>3.3853321152192608</c:v>
                </c:pt>
                <c:pt idx="19">
                  <c:v>3.4078206506162223</c:v>
                </c:pt>
                <c:pt idx="20">
                  <c:v>3.4303091860131842</c:v>
                </c:pt>
                <c:pt idx="21">
                  <c:v>3.4527977214101462</c:v>
                </c:pt>
                <c:pt idx="22">
                  <c:v>3.4752862568071081</c:v>
                </c:pt>
                <c:pt idx="23">
                  <c:v>3.4977747922040701</c:v>
                </c:pt>
                <c:pt idx="24">
                  <c:v>3.520263327601032</c:v>
                </c:pt>
                <c:pt idx="25">
                  <c:v>3.5427518629979939</c:v>
                </c:pt>
                <c:pt idx="26">
                  <c:v>3.5652403983949559</c:v>
                </c:pt>
                <c:pt idx="27">
                  <c:v>3.5877289337919178</c:v>
                </c:pt>
                <c:pt idx="28">
                  <c:v>3.6102174691888798</c:v>
                </c:pt>
                <c:pt idx="29">
                  <c:v>3.6327060045858413</c:v>
                </c:pt>
                <c:pt idx="30">
                  <c:v>3.6551945399828032</c:v>
                </c:pt>
                <c:pt idx="31">
                  <c:v>3.6776830753797651</c:v>
                </c:pt>
                <c:pt idx="32">
                  <c:v>3.7001716107767271</c:v>
                </c:pt>
                <c:pt idx="33">
                  <c:v>3.722660146173689</c:v>
                </c:pt>
                <c:pt idx="34">
                  <c:v>3.745148681570651</c:v>
                </c:pt>
                <c:pt idx="35">
                  <c:v>3.7676372169676129</c:v>
                </c:pt>
                <c:pt idx="36">
                  <c:v>3.7901257523645748</c:v>
                </c:pt>
                <c:pt idx="37">
                  <c:v>3.8126142877615368</c:v>
                </c:pt>
                <c:pt idx="38">
                  <c:v>3.8351028231584987</c:v>
                </c:pt>
                <c:pt idx="39">
                  <c:v>3.8575913585554606</c:v>
                </c:pt>
                <c:pt idx="40">
                  <c:v>3.8800798939524221</c:v>
                </c:pt>
                <c:pt idx="41">
                  <c:v>3.9025684293493841</c:v>
                </c:pt>
                <c:pt idx="42">
                  <c:v>3.925056964746346</c:v>
                </c:pt>
                <c:pt idx="43">
                  <c:v>3.947545500143308</c:v>
                </c:pt>
                <c:pt idx="44">
                  <c:v>3.9700340355402695</c:v>
                </c:pt>
                <c:pt idx="45">
                  <c:v>3.9925225709372314</c:v>
                </c:pt>
                <c:pt idx="46">
                  <c:v>4.0150111063341933</c:v>
                </c:pt>
                <c:pt idx="47">
                  <c:v>4.0374996417311557</c:v>
                </c:pt>
                <c:pt idx="48">
                  <c:v>4.0599881771281172</c:v>
                </c:pt>
                <c:pt idx="49">
                  <c:v>4.0824767125250787</c:v>
                </c:pt>
                <c:pt idx="50">
                  <c:v>4.1049652479220411</c:v>
                </c:pt>
                <c:pt idx="51">
                  <c:v>4.1274537833190026</c:v>
                </c:pt>
                <c:pt idx="52">
                  <c:v>4.149942318715965</c:v>
                </c:pt>
                <c:pt idx="53">
                  <c:v>4.1724308541129265</c:v>
                </c:pt>
                <c:pt idx="54">
                  <c:v>4.194919389509888</c:v>
                </c:pt>
                <c:pt idx="55">
                  <c:v>4.2174079249068503</c:v>
                </c:pt>
                <c:pt idx="56">
                  <c:v>4.2398964603038127</c:v>
                </c:pt>
                <c:pt idx="57">
                  <c:v>4.2623849957007742</c:v>
                </c:pt>
                <c:pt idx="58">
                  <c:v>4.2848735310977357</c:v>
                </c:pt>
                <c:pt idx="59">
                  <c:v>4.3073620664946981</c:v>
                </c:pt>
                <c:pt idx="60">
                  <c:v>4.3298506018916605</c:v>
                </c:pt>
                <c:pt idx="61">
                  <c:v>4.352339137288622</c:v>
                </c:pt>
                <c:pt idx="62">
                  <c:v>4.3748276726855835</c:v>
                </c:pt>
                <c:pt idx="63">
                  <c:v>4.397316208082545</c:v>
                </c:pt>
                <c:pt idx="64">
                  <c:v>4.4198047434795074</c:v>
                </c:pt>
                <c:pt idx="65">
                  <c:v>4.4422932788764697</c:v>
                </c:pt>
                <c:pt idx="66">
                  <c:v>4.4647818142734312</c:v>
                </c:pt>
                <c:pt idx="67">
                  <c:v>4.4872703496703927</c:v>
                </c:pt>
                <c:pt idx="68">
                  <c:v>4.5097588850673551</c:v>
                </c:pt>
                <c:pt idx="69">
                  <c:v>4.5322474204643166</c:v>
                </c:pt>
                <c:pt idx="70">
                  <c:v>4.554735955861279</c:v>
                </c:pt>
                <c:pt idx="71">
                  <c:v>4.5772244912582405</c:v>
                </c:pt>
                <c:pt idx="72">
                  <c:v>4.599713026655202</c:v>
                </c:pt>
                <c:pt idx="73">
                  <c:v>4.6222015620521644</c:v>
                </c:pt>
                <c:pt idx="74">
                  <c:v>4.6446900974491268</c:v>
                </c:pt>
                <c:pt idx="75">
                  <c:v>4.6671786328460882</c:v>
                </c:pt>
                <c:pt idx="76">
                  <c:v>4.6896671682430497</c:v>
                </c:pt>
                <c:pt idx="77">
                  <c:v>4.7121557036400112</c:v>
                </c:pt>
                <c:pt idx="78">
                  <c:v>4.7346442390369736</c:v>
                </c:pt>
                <c:pt idx="79">
                  <c:v>4.757132774433936</c:v>
                </c:pt>
                <c:pt idx="80">
                  <c:v>4.7796213098308975</c:v>
                </c:pt>
                <c:pt idx="81">
                  <c:v>4.802109845227859</c:v>
                </c:pt>
                <c:pt idx="82">
                  <c:v>4.8245983806248214</c:v>
                </c:pt>
                <c:pt idx="83">
                  <c:v>4.8470869160217829</c:v>
                </c:pt>
                <c:pt idx="84">
                  <c:v>4.8695754514187453</c:v>
                </c:pt>
                <c:pt idx="85">
                  <c:v>4.8920639868157068</c:v>
                </c:pt>
                <c:pt idx="86">
                  <c:v>4.9145525222126691</c:v>
                </c:pt>
                <c:pt idx="87">
                  <c:v>4.9370410576096306</c:v>
                </c:pt>
                <c:pt idx="88">
                  <c:v>4.9595295930065921</c:v>
                </c:pt>
                <c:pt idx="89">
                  <c:v>4.9820181284035545</c:v>
                </c:pt>
                <c:pt idx="90">
                  <c:v>5.004506663800516</c:v>
                </c:pt>
                <c:pt idx="91">
                  <c:v>5.0269951991974784</c:v>
                </c:pt>
                <c:pt idx="92">
                  <c:v>5.0494837345944399</c:v>
                </c:pt>
                <c:pt idx="93">
                  <c:v>5.0719722699914023</c:v>
                </c:pt>
                <c:pt idx="94">
                  <c:v>5.0944608053883638</c:v>
                </c:pt>
                <c:pt idx="95">
                  <c:v>5.1169493407853253</c:v>
                </c:pt>
                <c:pt idx="96">
                  <c:v>5.1394378761822876</c:v>
                </c:pt>
                <c:pt idx="97">
                  <c:v>5.16192641157925</c:v>
                </c:pt>
                <c:pt idx="98">
                  <c:v>5.1844149469762115</c:v>
                </c:pt>
                <c:pt idx="99">
                  <c:v>5.206903482373173</c:v>
                </c:pt>
                <c:pt idx="100">
                  <c:v>5.2293920177701345</c:v>
                </c:pt>
                <c:pt idx="101">
                  <c:v>5.2518805531670969</c:v>
                </c:pt>
                <c:pt idx="102">
                  <c:v>5.2743690885640593</c:v>
                </c:pt>
                <c:pt idx="103">
                  <c:v>5.2968576239610208</c:v>
                </c:pt>
                <c:pt idx="104">
                  <c:v>5.3193461593579823</c:v>
                </c:pt>
                <c:pt idx="105">
                  <c:v>5.3418346947549447</c:v>
                </c:pt>
                <c:pt idx="106">
                  <c:v>5.3643232301519062</c:v>
                </c:pt>
                <c:pt idx="107">
                  <c:v>5.3868117655488685</c:v>
                </c:pt>
                <c:pt idx="108">
                  <c:v>5.40930030094583</c:v>
                </c:pt>
                <c:pt idx="109">
                  <c:v>5.4317888363427915</c:v>
                </c:pt>
                <c:pt idx="110">
                  <c:v>5.4542773717397539</c:v>
                </c:pt>
                <c:pt idx="111">
                  <c:v>5.4767659071367163</c:v>
                </c:pt>
                <c:pt idx="112">
                  <c:v>5.4992544425336778</c:v>
                </c:pt>
                <c:pt idx="113">
                  <c:v>5.5217429779306393</c:v>
                </c:pt>
                <c:pt idx="114">
                  <c:v>5.5442315133276017</c:v>
                </c:pt>
                <c:pt idx="115">
                  <c:v>5.5667200487245632</c:v>
                </c:pt>
                <c:pt idx="116">
                  <c:v>5.5892085841215255</c:v>
                </c:pt>
                <c:pt idx="117">
                  <c:v>5.611697119518487</c:v>
                </c:pt>
                <c:pt idx="118">
                  <c:v>5.6341856549154485</c:v>
                </c:pt>
                <c:pt idx="119">
                  <c:v>5.6566741903124109</c:v>
                </c:pt>
                <c:pt idx="120">
                  <c:v>5.6791627257093724</c:v>
                </c:pt>
                <c:pt idx="121">
                  <c:v>5.7016512611063348</c:v>
                </c:pt>
                <c:pt idx="122">
                  <c:v>5.7241397965032963</c:v>
                </c:pt>
                <c:pt idx="123">
                  <c:v>5.7466283319002587</c:v>
                </c:pt>
                <c:pt idx="124">
                  <c:v>5.7691168672972202</c:v>
                </c:pt>
                <c:pt idx="125">
                  <c:v>5.7916054026941826</c:v>
                </c:pt>
                <c:pt idx="126">
                  <c:v>5.8140939380911441</c:v>
                </c:pt>
                <c:pt idx="127">
                  <c:v>5.8365824734881055</c:v>
                </c:pt>
                <c:pt idx="128">
                  <c:v>5.8590710088850679</c:v>
                </c:pt>
                <c:pt idx="129">
                  <c:v>5.8815595442820294</c:v>
                </c:pt>
                <c:pt idx="130">
                  <c:v>5.9040480796789918</c:v>
                </c:pt>
                <c:pt idx="131">
                  <c:v>5.9265366150759533</c:v>
                </c:pt>
                <c:pt idx="132">
                  <c:v>5.9490251504729157</c:v>
                </c:pt>
                <c:pt idx="133">
                  <c:v>5.9715136858698772</c:v>
                </c:pt>
                <c:pt idx="134">
                  <c:v>5.9940022212668387</c:v>
                </c:pt>
                <c:pt idx="135">
                  <c:v>6.0164907566638011</c:v>
                </c:pt>
                <c:pt idx="136">
                  <c:v>6.0389792920607626</c:v>
                </c:pt>
                <c:pt idx="137">
                  <c:v>6.0614678274577249</c:v>
                </c:pt>
                <c:pt idx="138">
                  <c:v>6.0839563628546864</c:v>
                </c:pt>
                <c:pt idx="139">
                  <c:v>6.1064448982516488</c:v>
                </c:pt>
                <c:pt idx="140">
                  <c:v>6.1289334336486103</c:v>
                </c:pt>
                <c:pt idx="141">
                  <c:v>6.1514219690455718</c:v>
                </c:pt>
                <c:pt idx="142">
                  <c:v>6.1739105044425342</c:v>
                </c:pt>
                <c:pt idx="143">
                  <c:v>6.1963990398394957</c:v>
                </c:pt>
                <c:pt idx="144">
                  <c:v>6.2188875752364581</c:v>
                </c:pt>
                <c:pt idx="145">
                  <c:v>6.2413761106334196</c:v>
                </c:pt>
                <c:pt idx="146">
                  <c:v>6.263864646030382</c:v>
                </c:pt>
                <c:pt idx="147">
                  <c:v>6.2863531814273435</c:v>
                </c:pt>
                <c:pt idx="148">
                  <c:v>6.3088417168243058</c:v>
                </c:pt>
                <c:pt idx="149">
                  <c:v>6.3313302522212673</c:v>
                </c:pt>
                <c:pt idx="150">
                  <c:v>6.3538187876182288</c:v>
                </c:pt>
                <c:pt idx="151">
                  <c:v>6.3763073230151912</c:v>
                </c:pt>
                <c:pt idx="152">
                  <c:v>6.3987958584121527</c:v>
                </c:pt>
                <c:pt idx="153">
                  <c:v>6.4212843938091151</c:v>
                </c:pt>
                <c:pt idx="154">
                  <c:v>6.4437729292060766</c:v>
                </c:pt>
                <c:pt idx="155">
                  <c:v>6.466261464603039</c:v>
                </c:pt>
                <c:pt idx="156">
                  <c:v>6.4887500000000005</c:v>
                </c:pt>
                <c:pt idx="157">
                  <c:v>6.511238535396962</c:v>
                </c:pt>
                <c:pt idx="158">
                  <c:v>6.5337270707939243</c:v>
                </c:pt>
                <c:pt idx="159">
                  <c:v>6.5562156061908858</c:v>
                </c:pt>
                <c:pt idx="160">
                  <c:v>6.5787041415878482</c:v>
                </c:pt>
                <c:pt idx="161">
                  <c:v>6.6011926769848097</c:v>
                </c:pt>
                <c:pt idx="162">
                  <c:v>6.6236812123817721</c:v>
                </c:pt>
                <c:pt idx="163">
                  <c:v>6.6461697477787336</c:v>
                </c:pt>
                <c:pt idx="164">
                  <c:v>6.6686582831756951</c:v>
                </c:pt>
                <c:pt idx="165">
                  <c:v>6.6911468185726575</c:v>
                </c:pt>
                <c:pt idx="166">
                  <c:v>6.713635353969619</c:v>
                </c:pt>
                <c:pt idx="167">
                  <c:v>6.7361238893665814</c:v>
                </c:pt>
                <c:pt idx="168">
                  <c:v>6.7586124247635428</c:v>
                </c:pt>
                <c:pt idx="169">
                  <c:v>6.7811009601605052</c:v>
                </c:pt>
                <c:pt idx="170">
                  <c:v>6.8035894955574667</c:v>
                </c:pt>
                <c:pt idx="171">
                  <c:v>6.8260780309544291</c:v>
                </c:pt>
                <c:pt idx="172">
                  <c:v>6.8485665663513906</c:v>
                </c:pt>
                <c:pt idx="173">
                  <c:v>6.8710551017483521</c:v>
                </c:pt>
                <c:pt idx="174">
                  <c:v>6.8935436371453145</c:v>
                </c:pt>
                <c:pt idx="175">
                  <c:v>6.916032172542276</c:v>
                </c:pt>
                <c:pt idx="176">
                  <c:v>6.9385207079392384</c:v>
                </c:pt>
                <c:pt idx="177">
                  <c:v>6.9610092433361999</c:v>
                </c:pt>
                <c:pt idx="178">
                  <c:v>6.9834977787331622</c:v>
                </c:pt>
                <c:pt idx="179">
                  <c:v>7.0059863141301237</c:v>
                </c:pt>
                <c:pt idx="180">
                  <c:v>7.0284748495270852</c:v>
                </c:pt>
                <c:pt idx="181">
                  <c:v>7.0509633849240476</c:v>
                </c:pt>
                <c:pt idx="182">
                  <c:v>7.0734519203210091</c:v>
                </c:pt>
                <c:pt idx="183">
                  <c:v>7.0959404557179715</c:v>
                </c:pt>
                <c:pt idx="184">
                  <c:v>7.118428991114933</c:v>
                </c:pt>
                <c:pt idx="185">
                  <c:v>7.1409175265118954</c:v>
                </c:pt>
                <c:pt idx="186">
                  <c:v>7.1634060619088569</c:v>
                </c:pt>
                <c:pt idx="187">
                  <c:v>7.1858945973058184</c:v>
                </c:pt>
                <c:pt idx="188">
                  <c:v>7.2083831327027807</c:v>
                </c:pt>
                <c:pt idx="189">
                  <c:v>7.2308716680997422</c:v>
                </c:pt>
                <c:pt idx="190">
                  <c:v>7.2533602034967046</c:v>
                </c:pt>
                <c:pt idx="191">
                  <c:v>7.2758487388936661</c:v>
                </c:pt>
                <c:pt idx="192">
                  <c:v>7.2983372742906285</c:v>
                </c:pt>
                <c:pt idx="193">
                  <c:v>7.32082580968759</c:v>
                </c:pt>
                <c:pt idx="194">
                  <c:v>7.3433143450845524</c:v>
                </c:pt>
                <c:pt idx="195">
                  <c:v>7.3658028804815139</c:v>
                </c:pt>
                <c:pt idx="196">
                  <c:v>7.3882914158784754</c:v>
                </c:pt>
                <c:pt idx="197">
                  <c:v>7.4107799512754378</c:v>
                </c:pt>
                <c:pt idx="198">
                  <c:v>7.4332684866723993</c:v>
                </c:pt>
                <c:pt idx="199">
                  <c:v>7.4557570220693616</c:v>
                </c:pt>
                <c:pt idx="200">
                  <c:v>7.4782455574663231</c:v>
                </c:pt>
                <c:pt idx="201">
                  <c:v>7.5007340928632846</c:v>
                </c:pt>
                <c:pt idx="202">
                  <c:v>7.523222628260247</c:v>
                </c:pt>
                <c:pt idx="203">
                  <c:v>7.5457111636572094</c:v>
                </c:pt>
                <c:pt idx="204">
                  <c:v>7.5681996990541709</c:v>
                </c:pt>
                <c:pt idx="205">
                  <c:v>7.5906882344511324</c:v>
                </c:pt>
                <c:pt idx="206">
                  <c:v>7.6131767698480948</c:v>
                </c:pt>
                <c:pt idx="207">
                  <c:v>7.6356653052450563</c:v>
                </c:pt>
                <c:pt idx="208">
                  <c:v>7.6581538406420187</c:v>
                </c:pt>
                <c:pt idx="209">
                  <c:v>7.6806423760389801</c:v>
                </c:pt>
                <c:pt idx="210">
                  <c:v>7.7031309114359416</c:v>
                </c:pt>
                <c:pt idx="211">
                  <c:v>7.725619446832904</c:v>
                </c:pt>
                <c:pt idx="212">
                  <c:v>7.7481079822298664</c:v>
                </c:pt>
                <c:pt idx="213">
                  <c:v>7.7705965176268279</c:v>
                </c:pt>
                <c:pt idx="214">
                  <c:v>7.7930850530237894</c:v>
                </c:pt>
                <c:pt idx="215">
                  <c:v>7.8155735884207509</c:v>
                </c:pt>
                <c:pt idx="216">
                  <c:v>7.8380621238177133</c:v>
                </c:pt>
                <c:pt idx="217">
                  <c:v>7.8605506592146757</c:v>
                </c:pt>
                <c:pt idx="218">
                  <c:v>7.8830391946116372</c:v>
                </c:pt>
                <c:pt idx="219">
                  <c:v>7.9055277300085987</c:v>
                </c:pt>
                <c:pt idx="220">
                  <c:v>7.928016265405561</c:v>
                </c:pt>
                <c:pt idx="221">
                  <c:v>7.9505048008025225</c:v>
                </c:pt>
                <c:pt idx="222">
                  <c:v>7.9729933361994849</c:v>
                </c:pt>
                <c:pt idx="223">
                  <c:v>7.9954818715964464</c:v>
                </c:pt>
                <c:pt idx="224">
                  <c:v>8.0179704069934079</c:v>
                </c:pt>
                <c:pt idx="225">
                  <c:v>8.0404589423903694</c:v>
                </c:pt>
                <c:pt idx="226">
                  <c:v>8.0629474777873327</c:v>
                </c:pt>
                <c:pt idx="227">
                  <c:v>8.0854360131842942</c:v>
                </c:pt>
                <c:pt idx="228">
                  <c:v>8.1079245485812557</c:v>
                </c:pt>
                <c:pt idx="229">
                  <c:v>8.1304130839782172</c:v>
                </c:pt>
                <c:pt idx="230">
                  <c:v>8.1529016193751804</c:v>
                </c:pt>
                <c:pt idx="231">
                  <c:v>8.1753901547721419</c:v>
                </c:pt>
                <c:pt idx="232">
                  <c:v>8.1978786901691034</c:v>
                </c:pt>
                <c:pt idx="233">
                  <c:v>8.2203672255660649</c:v>
                </c:pt>
                <c:pt idx="234">
                  <c:v>8.2428557609630282</c:v>
                </c:pt>
                <c:pt idx="235">
                  <c:v>8.2653442963599897</c:v>
                </c:pt>
                <c:pt idx="236">
                  <c:v>8.2878328317569512</c:v>
                </c:pt>
                <c:pt idx="237">
                  <c:v>8.3103213671539127</c:v>
                </c:pt>
                <c:pt idx="238">
                  <c:v>8.3328099025508742</c:v>
                </c:pt>
                <c:pt idx="239">
                  <c:v>8.3552984379478374</c:v>
                </c:pt>
                <c:pt idx="240">
                  <c:v>8.3777869733447989</c:v>
                </c:pt>
                <c:pt idx="241">
                  <c:v>8.4002755087417604</c:v>
                </c:pt>
                <c:pt idx="242">
                  <c:v>8.4227640441387219</c:v>
                </c:pt>
                <c:pt idx="243">
                  <c:v>8.4452525795356834</c:v>
                </c:pt>
                <c:pt idx="244">
                  <c:v>8.4677411149326467</c:v>
                </c:pt>
                <c:pt idx="245">
                  <c:v>8.4902296503296082</c:v>
                </c:pt>
                <c:pt idx="246">
                  <c:v>8.5127181857265697</c:v>
                </c:pt>
                <c:pt idx="247">
                  <c:v>8.5352067211235312</c:v>
                </c:pt>
                <c:pt idx="248">
                  <c:v>8.5576952565204927</c:v>
                </c:pt>
                <c:pt idx="249">
                  <c:v>8.5801837919174559</c:v>
                </c:pt>
                <c:pt idx="250">
                  <c:v>8.6026723273144174</c:v>
                </c:pt>
                <c:pt idx="251">
                  <c:v>8.6251608627113789</c:v>
                </c:pt>
                <c:pt idx="252">
                  <c:v>8.6476493981083404</c:v>
                </c:pt>
                <c:pt idx="253">
                  <c:v>8.6701379335053019</c:v>
                </c:pt>
                <c:pt idx="254">
                  <c:v>8.6926264689022652</c:v>
                </c:pt>
                <c:pt idx="255">
                  <c:v>8.7151150042992267</c:v>
                </c:pt>
                <c:pt idx="256">
                  <c:v>8.7376035396961882</c:v>
                </c:pt>
                <c:pt idx="257">
                  <c:v>8.7600920750931515</c:v>
                </c:pt>
                <c:pt idx="258">
                  <c:v>8.782580610490113</c:v>
                </c:pt>
                <c:pt idx="259">
                  <c:v>8.8050691458870745</c:v>
                </c:pt>
                <c:pt idx="260">
                  <c:v>8.827557681284036</c:v>
                </c:pt>
                <c:pt idx="261">
                  <c:v>8.8500462166809974</c:v>
                </c:pt>
                <c:pt idx="262">
                  <c:v>8.8725347520779607</c:v>
                </c:pt>
                <c:pt idx="263">
                  <c:v>8.8950232874749222</c:v>
                </c:pt>
                <c:pt idx="264">
                  <c:v>8.9175118228718837</c:v>
                </c:pt>
                <c:pt idx="265">
                  <c:v>8.9400003582688452</c:v>
                </c:pt>
                <c:pt idx="266">
                  <c:v>8.9624888936658067</c:v>
                </c:pt>
                <c:pt idx="267">
                  <c:v>8.98497742906277</c:v>
                </c:pt>
                <c:pt idx="268">
                  <c:v>9.0074659644597315</c:v>
                </c:pt>
                <c:pt idx="269">
                  <c:v>9.029954499856693</c:v>
                </c:pt>
                <c:pt idx="270">
                  <c:v>9.0524430352536545</c:v>
                </c:pt>
                <c:pt idx="271">
                  <c:v>9.074931570650616</c:v>
                </c:pt>
                <c:pt idx="272">
                  <c:v>9.0974201060475792</c:v>
                </c:pt>
                <c:pt idx="273">
                  <c:v>9.1199086414445407</c:v>
                </c:pt>
                <c:pt idx="274">
                  <c:v>9.1423971768415022</c:v>
                </c:pt>
                <c:pt idx="275">
                  <c:v>9.1648857122384637</c:v>
                </c:pt>
                <c:pt idx="276">
                  <c:v>9.1873742476354252</c:v>
                </c:pt>
                <c:pt idx="277">
                  <c:v>9.2098627830323885</c:v>
                </c:pt>
                <c:pt idx="278">
                  <c:v>9.23235131842935</c:v>
                </c:pt>
                <c:pt idx="279">
                  <c:v>9.2548398538263115</c:v>
                </c:pt>
                <c:pt idx="280">
                  <c:v>9.2773283892232747</c:v>
                </c:pt>
                <c:pt idx="281">
                  <c:v>9.2998169246202362</c:v>
                </c:pt>
                <c:pt idx="282">
                  <c:v>9.3223054600171977</c:v>
                </c:pt>
                <c:pt idx="283">
                  <c:v>9.3447939954141592</c:v>
                </c:pt>
                <c:pt idx="284">
                  <c:v>9.3672825308111207</c:v>
                </c:pt>
                <c:pt idx="285">
                  <c:v>9.389771066208084</c:v>
                </c:pt>
                <c:pt idx="286">
                  <c:v>9.4122596016050455</c:v>
                </c:pt>
                <c:pt idx="287">
                  <c:v>9.434748137002007</c:v>
                </c:pt>
                <c:pt idx="288">
                  <c:v>9.4572366723989685</c:v>
                </c:pt>
                <c:pt idx="289">
                  <c:v>9.47972520779593</c:v>
                </c:pt>
                <c:pt idx="290">
                  <c:v>9.5022137431928932</c:v>
                </c:pt>
                <c:pt idx="291">
                  <c:v>9.5247022785898547</c:v>
                </c:pt>
                <c:pt idx="292">
                  <c:v>9.5471908139868162</c:v>
                </c:pt>
                <c:pt idx="293">
                  <c:v>9.5696793493837795</c:v>
                </c:pt>
                <c:pt idx="294">
                  <c:v>9.5921678847807392</c:v>
                </c:pt>
                <c:pt idx="295">
                  <c:v>9.6146564201777025</c:v>
                </c:pt>
                <c:pt idx="296">
                  <c:v>9.637144955574664</c:v>
                </c:pt>
                <c:pt idx="297">
                  <c:v>9.6596334909716255</c:v>
                </c:pt>
                <c:pt idx="298">
                  <c:v>9.682122026368587</c:v>
                </c:pt>
                <c:pt idx="299">
                  <c:v>9.7046105617655485</c:v>
                </c:pt>
                <c:pt idx="300">
                  <c:v>9.7270990971625118</c:v>
                </c:pt>
                <c:pt idx="301">
                  <c:v>9.7495876325594732</c:v>
                </c:pt>
                <c:pt idx="302">
                  <c:v>9.7720761679564347</c:v>
                </c:pt>
                <c:pt idx="303">
                  <c:v>9.794564703353398</c:v>
                </c:pt>
                <c:pt idx="304">
                  <c:v>9.8170532387503595</c:v>
                </c:pt>
                <c:pt idx="305">
                  <c:v>9.839541774147321</c:v>
                </c:pt>
                <c:pt idx="306">
                  <c:v>9.8620303095442825</c:v>
                </c:pt>
                <c:pt idx="307">
                  <c:v>9.884518844941244</c:v>
                </c:pt>
                <c:pt idx="308">
                  <c:v>9.9070073803382073</c:v>
                </c:pt>
                <c:pt idx="309">
                  <c:v>9.9294959157351688</c:v>
                </c:pt>
                <c:pt idx="310">
                  <c:v>9.9519844511321303</c:v>
                </c:pt>
                <c:pt idx="311">
                  <c:v>9.9744729865290918</c:v>
                </c:pt>
                <c:pt idx="312">
                  <c:v>9.9969615219260533</c:v>
                </c:pt>
              </c:numCache>
            </c:numRef>
          </c:cat>
          <c:val>
            <c:numRef>
              <c:f>Capability!$O$4:$O$316</c:f>
              <c:numCache>
                <c:formatCode>General</c:formatCode>
                <c:ptCount val="313"/>
                <c:pt idx="0">
                  <c:v>6.1512382945210515E-3</c:v>
                </c:pt>
                <c:pt idx="1">
                  <c:v>6.5459949869056955E-3</c:v>
                </c:pt>
                <c:pt idx="3">
                  <c:v>6.9632993756957324E-3</c:v>
                </c:pt>
                <c:pt idx="4">
                  <c:v>7.404244451107227E-3</c:v>
                </c:pt>
                <c:pt idx="5">
                  <c:v>8.3616302181156888E-3</c:v>
                </c:pt>
                <c:pt idx="6">
                  <c:v>8.8804604687896735E-3</c:v>
                </c:pt>
                <c:pt idx="7">
                  <c:v>9.4277117449964084E-3</c:v>
                </c:pt>
                <c:pt idx="8">
                  <c:v>1.0004684269367103E-2</c:v>
                </c:pt>
                <c:pt idx="9">
                  <c:v>1.061272136436717E-2</c:v>
                </c:pt>
                <c:pt idx="10">
                  <c:v>1.1253209875867634E-2</c:v>
                </c:pt>
                <c:pt idx="11">
                  <c:v>1.1927580532902899E-2</c:v>
                </c:pt>
                <c:pt idx="12">
                  <c:v>1.2637308238848524E-2</c:v>
                </c:pt>
                <c:pt idx="13">
                  <c:v>1.3383912289161345E-2</c:v>
                </c:pt>
                <c:pt idx="14">
                  <c:v>1.4168956510744391E-2</c:v>
                </c:pt>
                <c:pt idx="15">
                  <c:v>1.4994049317929638E-2</c:v>
                </c:pt>
                <c:pt idx="16">
                  <c:v>1.5860843680015179E-2</c:v>
                </c:pt>
                <c:pt idx="17">
                  <c:v>1.6771036995250371E-2</c:v>
                </c:pt>
                <c:pt idx="18">
                  <c:v>1.7726370866133129E-2</c:v>
                </c:pt>
                <c:pt idx="19">
                  <c:v>1.8728630770870048E-2</c:v>
                </c:pt>
                <c:pt idx="20">
                  <c:v>1.977964562585242E-2</c:v>
                </c:pt>
                <c:pt idx="21">
                  <c:v>2.0881287234020215E-2</c:v>
                </c:pt>
                <c:pt idx="22">
                  <c:v>2.2035469614024195E-2</c:v>
                </c:pt>
                <c:pt idx="23">
                  <c:v>2.3244148205152006E-2</c:v>
                </c:pt>
                <c:pt idx="24">
                  <c:v>2.4509318943060139E-2</c:v>
                </c:pt>
                <c:pt idx="25">
                  <c:v>2.5833017201450471E-2</c:v>
                </c:pt>
                <c:pt idx="26">
                  <c:v>2.7217316594947367E-2</c:v>
                </c:pt>
                <c:pt idx="27">
                  <c:v>2.8664327638571522E-2</c:v>
                </c:pt>
                <c:pt idx="28">
                  <c:v>3.0176196259369188E-2</c:v>
                </c:pt>
                <c:pt idx="29">
                  <c:v>3.1755102155941184E-2</c:v>
                </c:pt>
                <c:pt idx="30">
                  <c:v>3.3403257001826094E-2</c:v>
                </c:pt>
                <c:pt idx="31">
                  <c:v>3.5122902488926397E-2</c:v>
                </c:pt>
                <c:pt idx="32">
                  <c:v>3.6916308207424954E-2</c:v>
                </c:pt>
                <c:pt idx="33">
                  <c:v>3.878576935892452E-2</c:v>
                </c:pt>
                <c:pt idx="34">
                  <c:v>4.0733604299851553E-2</c:v>
                </c:pt>
                <c:pt idx="35">
                  <c:v>4.2762151912502273E-2</c:v>
                </c:pt>
                <c:pt idx="36">
                  <c:v>4.4873768801469323E-2</c:v>
                </c:pt>
                <c:pt idx="37">
                  <c:v>4.707082631357435E-2</c:v>
                </c:pt>
                <c:pt idx="38">
                  <c:v>4.9355707379844828E-2</c:v>
                </c:pt>
                <c:pt idx="39">
                  <c:v>5.1730803178510552E-2</c:v>
                </c:pt>
                <c:pt idx="40">
                  <c:v>5.4198509618458374E-2</c:v>
                </c:pt>
                <c:pt idx="41">
                  <c:v>5.676122364307104E-2</c:v>
                </c:pt>
                <c:pt idx="42">
                  <c:v>5.9421339354886568E-2</c:v>
                </c:pt>
                <c:pt idx="43">
                  <c:v>6.2181243962050138E-2</c:v>
                </c:pt>
                <c:pt idx="44">
                  <c:v>6.5043313548085083E-2</c:v>
                </c:pt>
                <c:pt idx="45">
                  <c:v>6.8009908667090044E-2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</c:numCache>
            </c:numRef>
          </c:val>
        </c:ser>
        <c:ser>
          <c:idx val="0"/>
          <c:order val="1"/>
          <c:tx>
            <c:v>Actual</c:v>
          </c:tx>
          <c:spPr>
            <a:noFill/>
            <a:ln w="12700">
              <a:solidFill>
                <a:srgbClr val="000000"/>
              </a:solidFill>
              <a:prstDash val="solid"/>
            </a:ln>
          </c:spPr>
          <c:cat>
            <c:numRef>
              <c:f>Capability!$K$4:$K$316</c:f>
              <c:numCache>
                <c:formatCode>General</c:formatCode>
                <c:ptCount val="313"/>
                <c:pt idx="0">
                  <c:v>2.9805384780739468</c:v>
                </c:pt>
                <c:pt idx="1">
                  <c:v>3.0030270134709087</c:v>
                </c:pt>
                <c:pt idx="3">
                  <c:v>3.0255155488678707</c:v>
                </c:pt>
                <c:pt idx="4">
                  <c:v>3.0480040842648326</c:v>
                </c:pt>
                <c:pt idx="5">
                  <c:v>3.0929811550587565</c:v>
                </c:pt>
                <c:pt idx="6">
                  <c:v>3.1154696904557184</c:v>
                </c:pt>
                <c:pt idx="7">
                  <c:v>3.1379582258526799</c:v>
                </c:pt>
                <c:pt idx="8">
                  <c:v>3.1604467612496419</c:v>
                </c:pt>
                <c:pt idx="9">
                  <c:v>3.1829352966466038</c:v>
                </c:pt>
                <c:pt idx="10">
                  <c:v>3.2054238320435657</c:v>
                </c:pt>
                <c:pt idx="11">
                  <c:v>3.2279123674405277</c:v>
                </c:pt>
                <c:pt idx="12">
                  <c:v>3.2504009028374896</c:v>
                </c:pt>
                <c:pt idx="13">
                  <c:v>3.2728894382344516</c:v>
                </c:pt>
                <c:pt idx="14">
                  <c:v>3.2953779736314135</c:v>
                </c:pt>
                <c:pt idx="15">
                  <c:v>3.3178665090283754</c:v>
                </c:pt>
                <c:pt idx="16">
                  <c:v>3.3403550444253374</c:v>
                </c:pt>
                <c:pt idx="17">
                  <c:v>3.3628435798222993</c:v>
                </c:pt>
                <c:pt idx="18">
                  <c:v>3.3853321152192608</c:v>
                </c:pt>
                <c:pt idx="19">
                  <c:v>3.4078206506162223</c:v>
                </c:pt>
                <c:pt idx="20">
                  <c:v>3.4303091860131842</c:v>
                </c:pt>
                <c:pt idx="21">
                  <c:v>3.4527977214101462</c:v>
                </c:pt>
                <c:pt idx="22">
                  <c:v>3.4752862568071081</c:v>
                </c:pt>
                <c:pt idx="23">
                  <c:v>3.4977747922040701</c:v>
                </c:pt>
                <c:pt idx="24">
                  <c:v>3.520263327601032</c:v>
                </c:pt>
                <c:pt idx="25">
                  <c:v>3.5427518629979939</c:v>
                </c:pt>
                <c:pt idx="26">
                  <c:v>3.5652403983949559</c:v>
                </c:pt>
                <c:pt idx="27">
                  <c:v>3.5877289337919178</c:v>
                </c:pt>
                <c:pt idx="28">
                  <c:v>3.6102174691888798</c:v>
                </c:pt>
                <c:pt idx="29">
                  <c:v>3.6327060045858413</c:v>
                </c:pt>
                <c:pt idx="30">
                  <c:v>3.6551945399828032</c:v>
                </c:pt>
                <c:pt idx="31">
                  <c:v>3.6776830753797651</c:v>
                </c:pt>
                <c:pt idx="32">
                  <c:v>3.7001716107767271</c:v>
                </c:pt>
                <c:pt idx="33">
                  <c:v>3.722660146173689</c:v>
                </c:pt>
                <c:pt idx="34">
                  <c:v>3.745148681570651</c:v>
                </c:pt>
                <c:pt idx="35">
                  <c:v>3.7676372169676129</c:v>
                </c:pt>
                <c:pt idx="36">
                  <c:v>3.7901257523645748</c:v>
                </c:pt>
                <c:pt idx="37">
                  <c:v>3.8126142877615368</c:v>
                </c:pt>
                <c:pt idx="38">
                  <c:v>3.8351028231584987</c:v>
                </c:pt>
                <c:pt idx="39">
                  <c:v>3.8575913585554606</c:v>
                </c:pt>
                <c:pt idx="40">
                  <c:v>3.8800798939524221</c:v>
                </c:pt>
                <c:pt idx="41">
                  <c:v>3.9025684293493841</c:v>
                </c:pt>
                <c:pt idx="42">
                  <c:v>3.925056964746346</c:v>
                </c:pt>
                <c:pt idx="43">
                  <c:v>3.947545500143308</c:v>
                </c:pt>
                <c:pt idx="44">
                  <c:v>3.9700340355402695</c:v>
                </c:pt>
                <c:pt idx="45">
                  <c:v>3.9925225709372314</c:v>
                </c:pt>
                <c:pt idx="46">
                  <c:v>4.0150111063341933</c:v>
                </c:pt>
                <c:pt idx="47">
                  <c:v>4.0374996417311557</c:v>
                </c:pt>
                <c:pt idx="48">
                  <c:v>4.0599881771281172</c:v>
                </c:pt>
                <c:pt idx="49">
                  <c:v>4.0824767125250787</c:v>
                </c:pt>
                <c:pt idx="50">
                  <c:v>4.1049652479220411</c:v>
                </c:pt>
                <c:pt idx="51">
                  <c:v>4.1274537833190026</c:v>
                </c:pt>
                <c:pt idx="52">
                  <c:v>4.149942318715965</c:v>
                </c:pt>
                <c:pt idx="53">
                  <c:v>4.1724308541129265</c:v>
                </c:pt>
                <c:pt idx="54">
                  <c:v>4.194919389509888</c:v>
                </c:pt>
                <c:pt idx="55">
                  <c:v>4.2174079249068503</c:v>
                </c:pt>
                <c:pt idx="56">
                  <c:v>4.2398964603038127</c:v>
                </c:pt>
                <c:pt idx="57">
                  <c:v>4.2623849957007742</c:v>
                </c:pt>
                <c:pt idx="58">
                  <c:v>4.2848735310977357</c:v>
                </c:pt>
                <c:pt idx="59">
                  <c:v>4.3073620664946981</c:v>
                </c:pt>
                <c:pt idx="60">
                  <c:v>4.3298506018916605</c:v>
                </c:pt>
                <c:pt idx="61">
                  <c:v>4.352339137288622</c:v>
                </c:pt>
                <c:pt idx="62">
                  <c:v>4.3748276726855835</c:v>
                </c:pt>
                <c:pt idx="63">
                  <c:v>4.397316208082545</c:v>
                </c:pt>
                <c:pt idx="64">
                  <c:v>4.4198047434795074</c:v>
                </c:pt>
                <c:pt idx="65">
                  <c:v>4.4422932788764697</c:v>
                </c:pt>
                <c:pt idx="66">
                  <c:v>4.4647818142734312</c:v>
                </c:pt>
                <c:pt idx="67">
                  <c:v>4.4872703496703927</c:v>
                </c:pt>
                <c:pt idx="68">
                  <c:v>4.5097588850673551</c:v>
                </c:pt>
                <c:pt idx="69">
                  <c:v>4.5322474204643166</c:v>
                </c:pt>
                <c:pt idx="70">
                  <c:v>4.554735955861279</c:v>
                </c:pt>
                <c:pt idx="71">
                  <c:v>4.5772244912582405</c:v>
                </c:pt>
                <c:pt idx="72">
                  <c:v>4.599713026655202</c:v>
                </c:pt>
                <c:pt idx="73">
                  <c:v>4.6222015620521644</c:v>
                </c:pt>
                <c:pt idx="74">
                  <c:v>4.6446900974491268</c:v>
                </c:pt>
                <c:pt idx="75">
                  <c:v>4.6671786328460882</c:v>
                </c:pt>
                <c:pt idx="76">
                  <c:v>4.6896671682430497</c:v>
                </c:pt>
                <c:pt idx="77">
                  <c:v>4.7121557036400112</c:v>
                </c:pt>
                <c:pt idx="78">
                  <c:v>4.7346442390369736</c:v>
                </c:pt>
                <c:pt idx="79">
                  <c:v>4.757132774433936</c:v>
                </c:pt>
                <c:pt idx="80">
                  <c:v>4.7796213098308975</c:v>
                </c:pt>
                <c:pt idx="81">
                  <c:v>4.802109845227859</c:v>
                </c:pt>
                <c:pt idx="82">
                  <c:v>4.8245983806248214</c:v>
                </c:pt>
                <c:pt idx="83">
                  <c:v>4.8470869160217829</c:v>
                </c:pt>
                <c:pt idx="84">
                  <c:v>4.8695754514187453</c:v>
                </c:pt>
                <c:pt idx="85">
                  <c:v>4.8920639868157068</c:v>
                </c:pt>
                <c:pt idx="86">
                  <c:v>4.9145525222126691</c:v>
                </c:pt>
                <c:pt idx="87">
                  <c:v>4.9370410576096306</c:v>
                </c:pt>
                <c:pt idx="88">
                  <c:v>4.9595295930065921</c:v>
                </c:pt>
                <c:pt idx="89">
                  <c:v>4.9820181284035545</c:v>
                </c:pt>
                <c:pt idx="90">
                  <c:v>5.004506663800516</c:v>
                </c:pt>
                <c:pt idx="91">
                  <c:v>5.0269951991974784</c:v>
                </c:pt>
                <c:pt idx="92">
                  <c:v>5.0494837345944399</c:v>
                </c:pt>
                <c:pt idx="93">
                  <c:v>5.0719722699914023</c:v>
                </c:pt>
                <c:pt idx="94">
                  <c:v>5.0944608053883638</c:v>
                </c:pt>
                <c:pt idx="95">
                  <c:v>5.1169493407853253</c:v>
                </c:pt>
                <c:pt idx="96">
                  <c:v>5.1394378761822876</c:v>
                </c:pt>
                <c:pt idx="97">
                  <c:v>5.16192641157925</c:v>
                </c:pt>
                <c:pt idx="98">
                  <c:v>5.1844149469762115</c:v>
                </c:pt>
                <c:pt idx="99">
                  <c:v>5.206903482373173</c:v>
                </c:pt>
                <c:pt idx="100">
                  <c:v>5.2293920177701345</c:v>
                </c:pt>
                <c:pt idx="101">
                  <c:v>5.2518805531670969</c:v>
                </c:pt>
                <c:pt idx="102">
                  <c:v>5.2743690885640593</c:v>
                </c:pt>
                <c:pt idx="103">
                  <c:v>5.2968576239610208</c:v>
                </c:pt>
                <c:pt idx="104">
                  <c:v>5.3193461593579823</c:v>
                </c:pt>
                <c:pt idx="105">
                  <c:v>5.3418346947549447</c:v>
                </c:pt>
                <c:pt idx="106">
                  <c:v>5.3643232301519062</c:v>
                </c:pt>
                <c:pt idx="107">
                  <c:v>5.3868117655488685</c:v>
                </c:pt>
                <c:pt idx="108">
                  <c:v>5.40930030094583</c:v>
                </c:pt>
                <c:pt idx="109">
                  <c:v>5.4317888363427915</c:v>
                </c:pt>
                <c:pt idx="110">
                  <c:v>5.4542773717397539</c:v>
                </c:pt>
                <c:pt idx="111">
                  <c:v>5.4767659071367163</c:v>
                </c:pt>
                <c:pt idx="112">
                  <c:v>5.4992544425336778</c:v>
                </c:pt>
                <c:pt idx="113">
                  <c:v>5.5217429779306393</c:v>
                </c:pt>
                <c:pt idx="114">
                  <c:v>5.5442315133276017</c:v>
                </c:pt>
                <c:pt idx="115">
                  <c:v>5.5667200487245632</c:v>
                </c:pt>
                <c:pt idx="116">
                  <c:v>5.5892085841215255</c:v>
                </c:pt>
                <c:pt idx="117">
                  <c:v>5.611697119518487</c:v>
                </c:pt>
                <c:pt idx="118">
                  <c:v>5.6341856549154485</c:v>
                </c:pt>
                <c:pt idx="119">
                  <c:v>5.6566741903124109</c:v>
                </c:pt>
                <c:pt idx="120">
                  <c:v>5.6791627257093724</c:v>
                </c:pt>
                <c:pt idx="121">
                  <c:v>5.7016512611063348</c:v>
                </c:pt>
                <c:pt idx="122">
                  <c:v>5.7241397965032963</c:v>
                </c:pt>
                <c:pt idx="123">
                  <c:v>5.7466283319002587</c:v>
                </c:pt>
                <c:pt idx="124">
                  <c:v>5.7691168672972202</c:v>
                </c:pt>
                <c:pt idx="125">
                  <c:v>5.7916054026941826</c:v>
                </c:pt>
                <c:pt idx="126">
                  <c:v>5.8140939380911441</c:v>
                </c:pt>
                <c:pt idx="127">
                  <c:v>5.8365824734881055</c:v>
                </c:pt>
                <c:pt idx="128">
                  <c:v>5.8590710088850679</c:v>
                </c:pt>
                <c:pt idx="129">
                  <c:v>5.8815595442820294</c:v>
                </c:pt>
                <c:pt idx="130">
                  <c:v>5.9040480796789918</c:v>
                </c:pt>
                <c:pt idx="131">
                  <c:v>5.9265366150759533</c:v>
                </c:pt>
                <c:pt idx="132">
                  <c:v>5.9490251504729157</c:v>
                </c:pt>
                <c:pt idx="133">
                  <c:v>5.9715136858698772</c:v>
                </c:pt>
                <c:pt idx="134">
                  <c:v>5.9940022212668387</c:v>
                </c:pt>
                <c:pt idx="135">
                  <c:v>6.0164907566638011</c:v>
                </c:pt>
                <c:pt idx="136">
                  <c:v>6.0389792920607626</c:v>
                </c:pt>
                <c:pt idx="137">
                  <c:v>6.0614678274577249</c:v>
                </c:pt>
                <c:pt idx="138">
                  <c:v>6.0839563628546864</c:v>
                </c:pt>
                <c:pt idx="139">
                  <c:v>6.1064448982516488</c:v>
                </c:pt>
                <c:pt idx="140">
                  <c:v>6.1289334336486103</c:v>
                </c:pt>
                <c:pt idx="141">
                  <c:v>6.1514219690455718</c:v>
                </c:pt>
                <c:pt idx="142">
                  <c:v>6.1739105044425342</c:v>
                </c:pt>
                <c:pt idx="143">
                  <c:v>6.1963990398394957</c:v>
                </c:pt>
                <c:pt idx="144">
                  <c:v>6.2188875752364581</c:v>
                </c:pt>
                <c:pt idx="145">
                  <c:v>6.2413761106334196</c:v>
                </c:pt>
                <c:pt idx="146">
                  <c:v>6.263864646030382</c:v>
                </c:pt>
                <c:pt idx="147">
                  <c:v>6.2863531814273435</c:v>
                </c:pt>
                <c:pt idx="148">
                  <c:v>6.3088417168243058</c:v>
                </c:pt>
                <c:pt idx="149">
                  <c:v>6.3313302522212673</c:v>
                </c:pt>
                <c:pt idx="150">
                  <c:v>6.3538187876182288</c:v>
                </c:pt>
                <c:pt idx="151">
                  <c:v>6.3763073230151912</c:v>
                </c:pt>
                <c:pt idx="152">
                  <c:v>6.3987958584121527</c:v>
                </c:pt>
                <c:pt idx="153">
                  <c:v>6.4212843938091151</c:v>
                </c:pt>
                <c:pt idx="154">
                  <c:v>6.4437729292060766</c:v>
                </c:pt>
                <c:pt idx="155">
                  <c:v>6.466261464603039</c:v>
                </c:pt>
                <c:pt idx="156">
                  <c:v>6.4887500000000005</c:v>
                </c:pt>
                <c:pt idx="157">
                  <c:v>6.511238535396962</c:v>
                </c:pt>
                <c:pt idx="158">
                  <c:v>6.5337270707939243</c:v>
                </c:pt>
                <c:pt idx="159">
                  <c:v>6.5562156061908858</c:v>
                </c:pt>
                <c:pt idx="160">
                  <c:v>6.5787041415878482</c:v>
                </c:pt>
                <c:pt idx="161">
                  <c:v>6.6011926769848097</c:v>
                </c:pt>
                <c:pt idx="162">
                  <c:v>6.6236812123817721</c:v>
                </c:pt>
                <c:pt idx="163">
                  <c:v>6.6461697477787336</c:v>
                </c:pt>
                <c:pt idx="164">
                  <c:v>6.6686582831756951</c:v>
                </c:pt>
                <c:pt idx="165">
                  <c:v>6.6911468185726575</c:v>
                </c:pt>
                <c:pt idx="166">
                  <c:v>6.713635353969619</c:v>
                </c:pt>
                <c:pt idx="167">
                  <c:v>6.7361238893665814</c:v>
                </c:pt>
                <c:pt idx="168">
                  <c:v>6.7586124247635428</c:v>
                </c:pt>
                <c:pt idx="169">
                  <c:v>6.7811009601605052</c:v>
                </c:pt>
                <c:pt idx="170">
                  <c:v>6.8035894955574667</c:v>
                </c:pt>
                <c:pt idx="171">
                  <c:v>6.8260780309544291</c:v>
                </c:pt>
                <c:pt idx="172">
                  <c:v>6.8485665663513906</c:v>
                </c:pt>
                <c:pt idx="173">
                  <c:v>6.8710551017483521</c:v>
                </c:pt>
                <c:pt idx="174">
                  <c:v>6.8935436371453145</c:v>
                </c:pt>
                <c:pt idx="175">
                  <c:v>6.916032172542276</c:v>
                </c:pt>
                <c:pt idx="176">
                  <c:v>6.9385207079392384</c:v>
                </c:pt>
                <c:pt idx="177">
                  <c:v>6.9610092433361999</c:v>
                </c:pt>
                <c:pt idx="178">
                  <c:v>6.9834977787331622</c:v>
                </c:pt>
                <c:pt idx="179">
                  <c:v>7.0059863141301237</c:v>
                </c:pt>
                <c:pt idx="180">
                  <c:v>7.0284748495270852</c:v>
                </c:pt>
                <c:pt idx="181">
                  <c:v>7.0509633849240476</c:v>
                </c:pt>
                <c:pt idx="182">
                  <c:v>7.0734519203210091</c:v>
                </c:pt>
                <c:pt idx="183">
                  <c:v>7.0959404557179715</c:v>
                </c:pt>
                <c:pt idx="184">
                  <c:v>7.118428991114933</c:v>
                </c:pt>
                <c:pt idx="185">
                  <c:v>7.1409175265118954</c:v>
                </c:pt>
                <c:pt idx="186">
                  <c:v>7.1634060619088569</c:v>
                </c:pt>
                <c:pt idx="187">
                  <c:v>7.1858945973058184</c:v>
                </c:pt>
                <c:pt idx="188">
                  <c:v>7.2083831327027807</c:v>
                </c:pt>
                <c:pt idx="189">
                  <c:v>7.2308716680997422</c:v>
                </c:pt>
                <c:pt idx="190">
                  <c:v>7.2533602034967046</c:v>
                </c:pt>
                <c:pt idx="191">
                  <c:v>7.2758487388936661</c:v>
                </c:pt>
                <c:pt idx="192">
                  <c:v>7.2983372742906285</c:v>
                </c:pt>
                <c:pt idx="193">
                  <c:v>7.32082580968759</c:v>
                </c:pt>
                <c:pt idx="194">
                  <c:v>7.3433143450845524</c:v>
                </c:pt>
                <c:pt idx="195">
                  <c:v>7.3658028804815139</c:v>
                </c:pt>
                <c:pt idx="196">
                  <c:v>7.3882914158784754</c:v>
                </c:pt>
                <c:pt idx="197">
                  <c:v>7.4107799512754378</c:v>
                </c:pt>
                <c:pt idx="198">
                  <c:v>7.4332684866723993</c:v>
                </c:pt>
                <c:pt idx="199">
                  <c:v>7.4557570220693616</c:v>
                </c:pt>
                <c:pt idx="200">
                  <c:v>7.4782455574663231</c:v>
                </c:pt>
                <c:pt idx="201">
                  <c:v>7.5007340928632846</c:v>
                </c:pt>
                <c:pt idx="202">
                  <c:v>7.523222628260247</c:v>
                </c:pt>
                <c:pt idx="203">
                  <c:v>7.5457111636572094</c:v>
                </c:pt>
                <c:pt idx="204">
                  <c:v>7.5681996990541709</c:v>
                </c:pt>
                <c:pt idx="205">
                  <c:v>7.5906882344511324</c:v>
                </c:pt>
                <c:pt idx="206">
                  <c:v>7.6131767698480948</c:v>
                </c:pt>
                <c:pt idx="207">
                  <c:v>7.6356653052450563</c:v>
                </c:pt>
                <c:pt idx="208">
                  <c:v>7.6581538406420187</c:v>
                </c:pt>
                <c:pt idx="209">
                  <c:v>7.6806423760389801</c:v>
                </c:pt>
                <c:pt idx="210">
                  <c:v>7.7031309114359416</c:v>
                </c:pt>
                <c:pt idx="211">
                  <c:v>7.725619446832904</c:v>
                </c:pt>
                <c:pt idx="212">
                  <c:v>7.7481079822298664</c:v>
                </c:pt>
                <c:pt idx="213">
                  <c:v>7.7705965176268279</c:v>
                </c:pt>
                <c:pt idx="214">
                  <c:v>7.7930850530237894</c:v>
                </c:pt>
                <c:pt idx="215">
                  <c:v>7.8155735884207509</c:v>
                </c:pt>
                <c:pt idx="216">
                  <c:v>7.8380621238177133</c:v>
                </c:pt>
                <c:pt idx="217">
                  <c:v>7.8605506592146757</c:v>
                </c:pt>
                <c:pt idx="218">
                  <c:v>7.8830391946116372</c:v>
                </c:pt>
                <c:pt idx="219">
                  <c:v>7.9055277300085987</c:v>
                </c:pt>
                <c:pt idx="220">
                  <c:v>7.928016265405561</c:v>
                </c:pt>
                <c:pt idx="221">
                  <c:v>7.9505048008025225</c:v>
                </c:pt>
                <c:pt idx="222">
                  <c:v>7.9729933361994849</c:v>
                </c:pt>
                <c:pt idx="223">
                  <c:v>7.9954818715964464</c:v>
                </c:pt>
                <c:pt idx="224">
                  <c:v>8.0179704069934079</c:v>
                </c:pt>
                <c:pt idx="225">
                  <c:v>8.0404589423903694</c:v>
                </c:pt>
                <c:pt idx="226">
                  <c:v>8.0629474777873327</c:v>
                </c:pt>
                <c:pt idx="227">
                  <c:v>8.0854360131842942</c:v>
                </c:pt>
                <c:pt idx="228">
                  <c:v>8.1079245485812557</c:v>
                </c:pt>
                <c:pt idx="229">
                  <c:v>8.1304130839782172</c:v>
                </c:pt>
                <c:pt idx="230">
                  <c:v>8.1529016193751804</c:v>
                </c:pt>
                <c:pt idx="231">
                  <c:v>8.1753901547721419</c:v>
                </c:pt>
                <c:pt idx="232">
                  <c:v>8.1978786901691034</c:v>
                </c:pt>
                <c:pt idx="233">
                  <c:v>8.2203672255660649</c:v>
                </c:pt>
                <c:pt idx="234">
                  <c:v>8.2428557609630282</c:v>
                </c:pt>
                <c:pt idx="235">
                  <c:v>8.2653442963599897</c:v>
                </c:pt>
                <c:pt idx="236">
                  <c:v>8.2878328317569512</c:v>
                </c:pt>
                <c:pt idx="237">
                  <c:v>8.3103213671539127</c:v>
                </c:pt>
                <c:pt idx="238">
                  <c:v>8.3328099025508742</c:v>
                </c:pt>
                <c:pt idx="239">
                  <c:v>8.3552984379478374</c:v>
                </c:pt>
                <c:pt idx="240">
                  <c:v>8.3777869733447989</c:v>
                </c:pt>
                <c:pt idx="241">
                  <c:v>8.4002755087417604</c:v>
                </c:pt>
                <c:pt idx="242">
                  <c:v>8.4227640441387219</c:v>
                </c:pt>
                <c:pt idx="243">
                  <c:v>8.4452525795356834</c:v>
                </c:pt>
                <c:pt idx="244">
                  <c:v>8.4677411149326467</c:v>
                </c:pt>
                <c:pt idx="245">
                  <c:v>8.4902296503296082</c:v>
                </c:pt>
                <c:pt idx="246">
                  <c:v>8.5127181857265697</c:v>
                </c:pt>
                <c:pt idx="247">
                  <c:v>8.5352067211235312</c:v>
                </c:pt>
                <c:pt idx="248">
                  <c:v>8.5576952565204927</c:v>
                </c:pt>
                <c:pt idx="249">
                  <c:v>8.5801837919174559</c:v>
                </c:pt>
                <c:pt idx="250">
                  <c:v>8.6026723273144174</c:v>
                </c:pt>
                <c:pt idx="251">
                  <c:v>8.6251608627113789</c:v>
                </c:pt>
                <c:pt idx="252">
                  <c:v>8.6476493981083404</c:v>
                </c:pt>
                <c:pt idx="253">
                  <c:v>8.6701379335053019</c:v>
                </c:pt>
                <c:pt idx="254">
                  <c:v>8.6926264689022652</c:v>
                </c:pt>
                <c:pt idx="255">
                  <c:v>8.7151150042992267</c:v>
                </c:pt>
                <c:pt idx="256">
                  <c:v>8.7376035396961882</c:v>
                </c:pt>
                <c:pt idx="257">
                  <c:v>8.7600920750931515</c:v>
                </c:pt>
                <c:pt idx="258">
                  <c:v>8.782580610490113</c:v>
                </c:pt>
                <c:pt idx="259">
                  <c:v>8.8050691458870745</c:v>
                </c:pt>
                <c:pt idx="260">
                  <c:v>8.827557681284036</c:v>
                </c:pt>
                <c:pt idx="261">
                  <c:v>8.8500462166809974</c:v>
                </c:pt>
                <c:pt idx="262">
                  <c:v>8.8725347520779607</c:v>
                </c:pt>
                <c:pt idx="263">
                  <c:v>8.8950232874749222</c:v>
                </c:pt>
                <c:pt idx="264">
                  <c:v>8.9175118228718837</c:v>
                </c:pt>
                <c:pt idx="265">
                  <c:v>8.9400003582688452</c:v>
                </c:pt>
                <c:pt idx="266">
                  <c:v>8.9624888936658067</c:v>
                </c:pt>
                <c:pt idx="267">
                  <c:v>8.98497742906277</c:v>
                </c:pt>
                <c:pt idx="268">
                  <c:v>9.0074659644597315</c:v>
                </c:pt>
                <c:pt idx="269">
                  <c:v>9.029954499856693</c:v>
                </c:pt>
                <c:pt idx="270">
                  <c:v>9.0524430352536545</c:v>
                </c:pt>
                <c:pt idx="271">
                  <c:v>9.074931570650616</c:v>
                </c:pt>
                <c:pt idx="272">
                  <c:v>9.0974201060475792</c:v>
                </c:pt>
                <c:pt idx="273">
                  <c:v>9.1199086414445407</c:v>
                </c:pt>
                <c:pt idx="274">
                  <c:v>9.1423971768415022</c:v>
                </c:pt>
                <c:pt idx="275">
                  <c:v>9.1648857122384637</c:v>
                </c:pt>
                <c:pt idx="276">
                  <c:v>9.1873742476354252</c:v>
                </c:pt>
                <c:pt idx="277">
                  <c:v>9.2098627830323885</c:v>
                </c:pt>
                <c:pt idx="278">
                  <c:v>9.23235131842935</c:v>
                </c:pt>
                <c:pt idx="279">
                  <c:v>9.2548398538263115</c:v>
                </c:pt>
                <c:pt idx="280">
                  <c:v>9.2773283892232747</c:v>
                </c:pt>
                <c:pt idx="281">
                  <c:v>9.2998169246202362</c:v>
                </c:pt>
                <c:pt idx="282">
                  <c:v>9.3223054600171977</c:v>
                </c:pt>
                <c:pt idx="283">
                  <c:v>9.3447939954141592</c:v>
                </c:pt>
                <c:pt idx="284">
                  <c:v>9.3672825308111207</c:v>
                </c:pt>
                <c:pt idx="285">
                  <c:v>9.389771066208084</c:v>
                </c:pt>
                <c:pt idx="286">
                  <c:v>9.4122596016050455</c:v>
                </c:pt>
                <c:pt idx="287">
                  <c:v>9.434748137002007</c:v>
                </c:pt>
                <c:pt idx="288">
                  <c:v>9.4572366723989685</c:v>
                </c:pt>
                <c:pt idx="289">
                  <c:v>9.47972520779593</c:v>
                </c:pt>
                <c:pt idx="290">
                  <c:v>9.5022137431928932</c:v>
                </c:pt>
                <c:pt idx="291">
                  <c:v>9.5247022785898547</c:v>
                </c:pt>
                <c:pt idx="292">
                  <c:v>9.5471908139868162</c:v>
                </c:pt>
                <c:pt idx="293">
                  <c:v>9.5696793493837795</c:v>
                </c:pt>
                <c:pt idx="294">
                  <c:v>9.5921678847807392</c:v>
                </c:pt>
                <c:pt idx="295">
                  <c:v>9.6146564201777025</c:v>
                </c:pt>
                <c:pt idx="296">
                  <c:v>9.637144955574664</c:v>
                </c:pt>
                <c:pt idx="297">
                  <c:v>9.6596334909716255</c:v>
                </c:pt>
                <c:pt idx="298">
                  <c:v>9.682122026368587</c:v>
                </c:pt>
                <c:pt idx="299">
                  <c:v>9.7046105617655485</c:v>
                </c:pt>
                <c:pt idx="300">
                  <c:v>9.7270990971625118</c:v>
                </c:pt>
                <c:pt idx="301">
                  <c:v>9.7495876325594732</c:v>
                </c:pt>
                <c:pt idx="302">
                  <c:v>9.7720761679564347</c:v>
                </c:pt>
                <c:pt idx="303">
                  <c:v>9.794564703353398</c:v>
                </c:pt>
                <c:pt idx="304">
                  <c:v>9.8170532387503595</c:v>
                </c:pt>
                <c:pt idx="305">
                  <c:v>9.839541774147321</c:v>
                </c:pt>
                <c:pt idx="306">
                  <c:v>9.8620303095442825</c:v>
                </c:pt>
                <c:pt idx="307">
                  <c:v>9.884518844941244</c:v>
                </c:pt>
                <c:pt idx="308">
                  <c:v>9.9070073803382073</c:v>
                </c:pt>
                <c:pt idx="309">
                  <c:v>9.9294959157351688</c:v>
                </c:pt>
                <c:pt idx="310">
                  <c:v>9.9519844511321303</c:v>
                </c:pt>
                <c:pt idx="311">
                  <c:v>9.9744729865290918</c:v>
                </c:pt>
                <c:pt idx="312">
                  <c:v>9.9969615219260533</c:v>
                </c:pt>
              </c:numCache>
            </c:numRef>
          </c:cat>
          <c:val>
            <c:numRef>
              <c:f>Capability!$M$4:$M$316</c:f>
              <c:numCache>
                <c:formatCode>General</c:formatCode>
                <c:ptCount val="313"/>
                <c:pt idx="0">
                  <c:v>6.1512382945210515E-3</c:v>
                </c:pt>
                <c:pt idx="1">
                  <c:v>6.5459949869056955E-3</c:v>
                </c:pt>
                <c:pt idx="3">
                  <c:v>6.9632993756957324E-3</c:v>
                </c:pt>
                <c:pt idx="4">
                  <c:v>7.404244451107227E-3</c:v>
                </c:pt>
                <c:pt idx="5">
                  <c:v>8.3616302181156888E-3</c:v>
                </c:pt>
                <c:pt idx="6">
                  <c:v>8.8804604687896735E-3</c:v>
                </c:pt>
                <c:pt idx="7">
                  <c:v>9.4277117449964084E-3</c:v>
                </c:pt>
                <c:pt idx="8">
                  <c:v>1.0004684269367103E-2</c:v>
                </c:pt>
                <c:pt idx="9">
                  <c:v>1.061272136436717E-2</c:v>
                </c:pt>
                <c:pt idx="10">
                  <c:v>1.1253209875867634E-2</c:v>
                </c:pt>
                <c:pt idx="11">
                  <c:v>1.1927580532902899E-2</c:v>
                </c:pt>
                <c:pt idx="12">
                  <c:v>1.2637308238848524E-2</c:v>
                </c:pt>
                <c:pt idx="13">
                  <c:v>1.3383912289161345E-2</c:v>
                </c:pt>
                <c:pt idx="14">
                  <c:v>1.4168956510744391E-2</c:v>
                </c:pt>
                <c:pt idx="15">
                  <c:v>1.4994049317929638E-2</c:v>
                </c:pt>
                <c:pt idx="16">
                  <c:v>1.5860843680015179E-2</c:v>
                </c:pt>
                <c:pt idx="17">
                  <c:v>1.6771036995250371E-2</c:v>
                </c:pt>
                <c:pt idx="18">
                  <c:v>1.7726370866133129E-2</c:v>
                </c:pt>
                <c:pt idx="19">
                  <c:v>1.8728630770870048E-2</c:v>
                </c:pt>
                <c:pt idx="20">
                  <c:v>1.977964562585242E-2</c:v>
                </c:pt>
                <c:pt idx="21">
                  <c:v>2.0881287234020215E-2</c:v>
                </c:pt>
                <c:pt idx="22">
                  <c:v>2.2035469614024195E-2</c:v>
                </c:pt>
                <c:pt idx="23">
                  <c:v>2.3244148205152006E-2</c:v>
                </c:pt>
                <c:pt idx="24">
                  <c:v>2.4509318943060139E-2</c:v>
                </c:pt>
                <c:pt idx="25">
                  <c:v>2.5833017201450471E-2</c:v>
                </c:pt>
                <c:pt idx="26">
                  <c:v>2.7217316594947367E-2</c:v>
                </c:pt>
                <c:pt idx="27">
                  <c:v>2.8664327638571522E-2</c:v>
                </c:pt>
                <c:pt idx="28">
                  <c:v>3.0176196259369188E-2</c:v>
                </c:pt>
                <c:pt idx="29">
                  <c:v>3.1755102155941184E-2</c:v>
                </c:pt>
                <c:pt idx="30">
                  <c:v>3.3403257001826094E-2</c:v>
                </c:pt>
                <c:pt idx="31">
                  <c:v>3.5122902488926397E-2</c:v>
                </c:pt>
                <c:pt idx="32">
                  <c:v>3.6916308207424954E-2</c:v>
                </c:pt>
                <c:pt idx="33">
                  <c:v>3.878576935892452E-2</c:v>
                </c:pt>
                <c:pt idx="34">
                  <c:v>4.0733604299851553E-2</c:v>
                </c:pt>
                <c:pt idx="35">
                  <c:v>4.2762151912502273E-2</c:v>
                </c:pt>
                <c:pt idx="36">
                  <c:v>4.4873768801469323E-2</c:v>
                </c:pt>
                <c:pt idx="37">
                  <c:v>4.707082631357435E-2</c:v>
                </c:pt>
                <c:pt idx="38">
                  <c:v>4.9355707379844828E-2</c:v>
                </c:pt>
                <c:pt idx="39">
                  <c:v>5.1730803178510552E-2</c:v>
                </c:pt>
                <c:pt idx="40">
                  <c:v>5.4198509618458374E-2</c:v>
                </c:pt>
                <c:pt idx="41">
                  <c:v>5.676122364307104E-2</c:v>
                </c:pt>
                <c:pt idx="42">
                  <c:v>5.9421339354886568E-2</c:v>
                </c:pt>
                <c:pt idx="43">
                  <c:v>6.2181243962050138E-2</c:v>
                </c:pt>
                <c:pt idx="44">
                  <c:v>6.5043313548085083E-2</c:v>
                </c:pt>
                <c:pt idx="45">
                  <c:v>6.8009908667090044E-2</c:v>
                </c:pt>
                <c:pt idx="46">
                  <c:v>7.108336976706453E-2</c:v>
                </c:pt>
                <c:pt idx="47">
                  <c:v>7.4266012444684948E-2</c:v>
                </c:pt>
                <c:pt idx="48">
                  <c:v>7.756012253548536E-2</c:v>
                </c:pt>
                <c:pt idx="49">
                  <c:v>8.0967951044050052E-2</c:v>
                </c:pt>
                <c:pt idx="50">
                  <c:v>8.4491708919487332E-2</c:v>
                </c:pt>
                <c:pt idx="51">
                  <c:v>8.8133561682132669E-2</c:v>
                </c:pt>
                <c:pt idx="52">
                  <c:v>9.1895623908119409E-2</c:v>
                </c:pt>
                <c:pt idx="53">
                  <c:v>9.5779953579146593E-2</c:v>
                </c:pt>
                <c:pt idx="54">
                  <c:v>9.9788546305482062E-2</c:v>
                </c:pt>
                <c:pt idx="55">
                  <c:v>0.10392332943094183</c:v>
                </c:pt>
                <c:pt idx="56">
                  <c:v>0.10818615602929624</c:v>
                </c:pt>
                <c:pt idx="57">
                  <c:v>0.11257879880226368</c:v>
                </c:pt>
                <c:pt idx="58">
                  <c:v>0.11710294388995295</c:v>
                </c:pt>
                <c:pt idx="59">
                  <c:v>0.12176018460531368</c:v>
                </c:pt>
                <c:pt idx="60">
                  <c:v>0.12655201510484645</c:v>
                </c:pt>
                <c:pt idx="61">
                  <c:v>0.13147982400849589</c:v>
                </c:pt>
                <c:pt idx="62">
                  <c:v>0.13654488798231643</c:v>
                </c:pt>
                <c:pt idx="63">
                  <c:v>0.14174836529813953</c:v>
                </c:pt>
                <c:pt idx="64">
                  <c:v>0.14709128938509708</c:v>
                </c:pt>
                <c:pt idx="65">
                  <c:v>0.15257456238845307</c:v>
                </c:pt>
                <c:pt idx="66">
                  <c:v>0.15819894875176629</c:v>
                </c:pt>
                <c:pt idx="67">
                  <c:v>0.16396506883894862</c:v>
                </c:pt>
                <c:pt idx="68">
                  <c:v>0.16987339261328802</c:v>
                </c:pt>
                <c:pt idx="69">
                  <c:v>0.17592423339097729</c:v>
                </c:pt>
                <c:pt idx="70">
                  <c:v>0.18211774168712405</c:v>
                </c:pt>
                <c:pt idx="71">
                  <c:v>0.18845389917259392</c:v>
                </c:pt>
                <c:pt idx="72">
                  <c:v>0.19493251276039603</c:v>
                </c:pt>
                <c:pt idx="73">
                  <c:v>0.20155320884059935</c:v>
                </c:pt>
                <c:pt idx="74">
                  <c:v>0.20831542768301711</c:v>
                </c:pt>
                <c:pt idx="75">
                  <c:v>0.21521841802708513</c:v>
                </c:pt>
                <c:pt idx="76">
                  <c:v>0.2222612318784874</c:v>
                </c:pt>
                <c:pt idx="77">
                  <c:v>0.22944271953215137</c:v>
                </c:pt>
                <c:pt idx="78">
                  <c:v>0.23676152484125515</c:v>
                </c:pt>
                <c:pt idx="79">
                  <c:v>0.24421608075182372</c:v>
                </c:pt>
                <c:pt idx="80">
                  <c:v>0.2518046051223829</c:v>
                </c:pt>
                <c:pt idx="81">
                  <c:v>0.25952509684794794</c:v>
                </c:pt>
                <c:pt idx="82">
                  <c:v>0.2673753323073691</c:v>
                </c:pt>
                <c:pt idx="83">
                  <c:v>0.27535286215273558</c:v>
                </c:pt>
                <c:pt idx="84">
                  <c:v>0.28345500845914662</c:v>
                </c:pt>
                <c:pt idx="85">
                  <c:v>0.29167886225267997</c:v>
                </c:pt>
                <c:pt idx="86">
                  <c:v>0.3000212814338688</c:v>
                </c:pt>
                <c:pt idx="87">
                  <c:v>0.30847888911336457</c:v>
                </c:pt>
                <c:pt idx="88">
                  <c:v>0.31704807237580529</c:v>
                </c:pt>
                <c:pt idx="89">
                  <c:v>0.32572498148713103</c:v>
                </c:pt>
                <c:pt idx="90">
                  <c:v>0.33450552955977708</c:v>
                </c:pt>
                <c:pt idx="91">
                  <c:v>0.34338539268928081</c:v>
                </c:pt>
                <c:pt idx="92">
                  <c:v>0.35236001057485672</c:v>
                </c:pt>
                <c:pt idx="93">
                  <c:v>0.36142458763549035</c:v>
                </c:pt>
                <c:pt idx="94">
                  <c:v>0.37057409463197466</c:v>
                </c:pt>
                <c:pt idx="95">
                  <c:v>0.37980327080417897</c:v>
                </c:pt>
                <c:pt idx="96">
                  <c:v>0.38910662653160316</c:v>
                </c:pt>
                <c:pt idx="97">
                  <c:v>0.39847844652399828</c:v>
                </c:pt>
                <c:pt idx="98">
                  <c:v>0.40791279354750853</c:v>
                </c:pt>
                <c:pt idx="99">
                  <c:v>0.41740351269039755</c:v>
                </c:pt>
                <c:pt idx="100">
                  <c:v>0.42694423617099414</c:v>
                </c:pt>
                <c:pt idx="101">
                  <c:v>0.43652838868902999</c:v>
                </c:pt>
                <c:pt idx="102">
                  <c:v>0.44614919332001385</c:v>
                </c:pt>
                <c:pt idx="103">
                  <c:v>0.45579967795076026</c:v>
                </c:pt>
                <c:pt idx="104">
                  <c:v>0.46547268225260008</c:v>
                </c:pt>
                <c:pt idx="105">
                  <c:v>0.47516086518721101</c:v>
                </c:pt>
                <c:pt idx="106">
                  <c:v>0.48485671303838496</c:v>
                </c:pt>
                <c:pt idx="107">
                  <c:v>0.494552547961426</c:v>
                </c:pt>
                <c:pt idx="108">
                  <c:v>0.50424053704021699</c:v>
                </c:pt>
                <c:pt idx="109">
                  <c:v>0.51391270184037541</c:v>
                </c:pt>
                <c:pt idx="110">
                  <c:v>0.52356092844526281</c:v>
                </c:pt>
                <c:pt idx="111">
                  <c:v>0.53317697795999608</c:v>
                </c:pt>
                <c:pt idx="112">
                  <c:v>0.54275249746699783</c:v>
                </c:pt>
                <c:pt idx="113">
                  <c:v>0.55227903141503265</c:v>
                </c:pt>
                <c:pt idx="114">
                  <c:v>0.56174803342211554</c:v>
                </c:pt>
                <c:pt idx="115">
                  <c:v>0.57115087847115587</c:v>
                </c:pt>
                <c:pt idx="116">
                  <c:v>0.58047887547572363</c:v>
                </c:pt>
                <c:pt idx="117">
                  <c:v>0.58972328019186493</c:v>
                </c:pt>
                <c:pt idx="118">
                  <c:v>0.59887530845054104</c:v>
                </c:pt>
                <c:pt idx="119">
                  <c:v>0.60792614968391279</c:v>
                </c:pt>
                <c:pt idx="120">
                  <c:v>0.61686698071744483</c:v>
                </c:pt>
                <c:pt idx="121">
                  <c:v>0.62568897979861593</c:v>
                </c:pt>
                <c:pt idx="122">
                  <c:v>0.63438334083189485</c:v>
                </c:pt>
                <c:pt idx="123">
                  <c:v>0.6429412877886227</c:v>
                </c:pt>
                <c:pt idx="124">
                  <c:v>0.65135408925948168</c:v>
                </c:pt>
                <c:pt idx="125">
                  <c:v>0.6596130731163824</c:v>
                </c:pt>
                <c:pt idx="126">
                  <c:v>0.66770964124983179</c:v>
                </c:pt>
                <c:pt idx="127">
                  <c:v>0.67563528434718867</c:v>
                </c:pt>
                <c:pt idx="128">
                  <c:v>0.683381596676644</c:v>
                </c:pt>
                <c:pt idx="129">
                  <c:v>0.69094029084131348</c:v>
                </c:pt>
                <c:pt idx="130">
                  <c:v>0.69830321246748994</c:v>
                </c:pt>
                <c:pt idx="131">
                  <c:v>0.70546235479085107</c:v>
                </c:pt>
                <c:pt idx="132">
                  <c:v>0.71240987310432169</c:v>
                </c:pt>
                <c:pt idx="133">
                  <c:v>0.71913809903126147</c:v>
                </c:pt>
                <c:pt idx="134">
                  <c:v>0.72563955458778151</c:v>
                </c:pt>
                <c:pt idx="135">
                  <c:v>0.73190696599820315</c:v>
                </c:pt>
                <c:pt idx="136">
                  <c:v>0.73793327722803781</c:v>
                </c:pt>
                <c:pt idx="137">
                  <c:v>0.74371166319931759</c:v>
                </c:pt>
                <c:pt idx="138">
                  <c:v>0.7492355426536933</c:v>
                </c:pt>
                <c:pt idx="139">
                  <c:v>0.75449859062942271</c:v>
                </c:pt>
                <c:pt idx="140">
                  <c:v>0.75949475051916582</c:v>
                </c:pt>
                <c:pt idx="141">
                  <c:v>0.76421824567645236</c:v>
                </c:pt>
                <c:pt idx="142">
                  <c:v>0.76866359053970268</c:v>
                </c:pt>
                <c:pt idx="143">
                  <c:v>0.77282560124383715</c:v>
                </c:pt>
                <c:pt idx="144">
                  <c:v>0.77669940569075113</c:v>
                </c:pt>
                <c:pt idx="145">
                  <c:v>0.78028045305127991</c:v>
                </c:pt>
                <c:pt idx="146">
                  <c:v>0.78356452267271948</c:v>
                </c:pt>
                <c:pt idx="147">
                  <c:v>0.78654773236750097</c:v>
                </c:pt>
                <c:pt idx="148">
                  <c:v>0.78922654606023812</c:v>
                </c:pt>
                <c:pt idx="149">
                  <c:v>0.79159778077206089</c:v>
                </c:pt>
                <c:pt idx="150">
                  <c:v>0.79365861292292894</c:v>
                </c:pt>
                <c:pt idx="151">
                  <c:v>0.79540658393445707</c:v>
                </c:pt>
                <c:pt idx="152">
                  <c:v>0.79683960511768825</c:v>
                </c:pt>
                <c:pt idx="153">
                  <c:v>0.79795596183221507</c:v>
                </c:pt>
                <c:pt idx="154">
                  <c:v>0.79875431690505405</c:v>
                </c:pt>
                <c:pt idx="155">
                  <c:v>0.79923371329973381</c:v>
                </c:pt>
                <c:pt idx="156">
                  <c:v>0.79939357602813355</c:v>
                </c:pt>
                <c:pt idx="157">
                  <c:v>0.79923371329973381</c:v>
                </c:pt>
                <c:pt idx="158">
                  <c:v>0.79875431690505405</c:v>
                </c:pt>
                <c:pt idx="159">
                  <c:v>0.79795596183221507</c:v>
                </c:pt>
                <c:pt idx="160">
                  <c:v>0.79683960511768825</c:v>
                </c:pt>
                <c:pt idx="161">
                  <c:v>0.79540658393445707</c:v>
                </c:pt>
                <c:pt idx="162">
                  <c:v>0.79365861292292894</c:v>
                </c:pt>
                <c:pt idx="163">
                  <c:v>0.79159778077206089</c:v>
                </c:pt>
                <c:pt idx="164">
                  <c:v>0.78922654606023812</c:v>
                </c:pt>
                <c:pt idx="165">
                  <c:v>0.78654773236750097</c:v>
                </c:pt>
                <c:pt idx="166">
                  <c:v>0.78356452267271948</c:v>
                </c:pt>
                <c:pt idx="167">
                  <c:v>0.78028045305127991</c:v>
                </c:pt>
                <c:pt idx="168">
                  <c:v>0.77669940569075113</c:v>
                </c:pt>
                <c:pt idx="169">
                  <c:v>0.77282560124383715</c:v>
                </c:pt>
                <c:pt idx="170">
                  <c:v>0.76866359053970268</c:v>
                </c:pt>
                <c:pt idx="171">
                  <c:v>0.76421824567645236</c:v>
                </c:pt>
                <c:pt idx="172">
                  <c:v>0.75949475051916582</c:v>
                </c:pt>
                <c:pt idx="173">
                  <c:v>0.75449859062942271</c:v>
                </c:pt>
                <c:pt idx="174">
                  <c:v>0.7492355426536933</c:v>
                </c:pt>
                <c:pt idx="175">
                  <c:v>0.74371166319931759</c:v>
                </c:pt>
                <c:pt idx="176">
                  <c:v>0.73793327722803781</c:v>
                </c:pt>
                <c:pt idx="177">
                  <c:v>0.73190696599820315</c:v>
                </c:pt>
                <c:pt idx="178">
                  <c:v>0.72563955458778151</c:v>
                </c:pt>
                <c:pt idx="179">
                  <c:v>0.71913809903126147</c:v>
                </c:pt>
                <c:pt idx="180">
                  <c:v>0.71240987310432169</c:v>
                </c:pt>
                <c:pt idx="181">
                  <c:v>0.70546235479085107</c:v>
                </c:pt>
                <c:pt idx="182">
                  <c:v>0.69830321246748994</c:v>
                </c:pt>
                <c:pt idx="183">
                  <c:v>0.69094029084131348</c:v>
                </c:pt>
                <c:pt idx="184">
                  <c:v>0.683381596676644</c:v>
                </c:pt>
                <c:pt idx="185">
                  <c:v>0.67563528434718867</c:v>
                </c:pt>
                <c:pt idx="186">
                  <c:v>0.66770964124983179</c:v>
                </c:pt>
                <c:pt idx="187">
                  <c:v>0.6596130731163824</c:v>
                </c:pt>
                <c:pt idx="188">
                  <c:v>0.65135408925948168</c:v>
                </c:pt>
                <c:pt idx="189">
                  <c:v>0.6429412877886227</c:v>
                </c:pt>
                <c:pt idx="190">
                  <c:v>0.63438334083189485</c:v>
                </c:pt>
                <c:pt idx="191">
                  <c:v>0.62568897979861593</c:v>
                </c:pt>
                <c:pt idx="192">
                  <c:v>0.61686698071744483</c:v>
                </c:pt>
                <c:pt idx="193">
                  <c:v>0.60792614968391279</c:v>
                </c:pt>
                <c:pt idx="194">
                  <c:v>0.59887530845054104</c:v>
                </c:pt>
                <c:pt idx="195">
                  <c:v>0.58972328019186493</c:v>
                </c:pt>
                <c:pt idx="196">
                  <c:v>0.58047887547572363</c:v>
                </c:pt>
                <c:pt idx="197">
                  <c:v>0.57115087847115587</c:v>
                </c:pt>
                <c:pt idx="198">
                  <c:v>0.56174803342211554</c:v>
                </c:pt>
                <c:pt idx="199">
                  <c:v>0.55227903141503265</c:v>
                </c:pt>
                <c:pt idx="200">
                  <c:v>0.54275249746699783</c:v>
                </c:pt>
                <c:pt idx="201">
                  <c:v>0.53317697795999608</c:v>
                </c:pt>
                <c:pt idx="202">
                  <c:v>0.52356092844526281</c:v>
                </c:pt>
                <c:pt idx="203">
                  <c:v>0.51391270184037541</c:v>
                </c:pt>
                <c:pt idx="204">
                  <c:v>0.50424053704021699</c:v>
                </c:pt>
                <c:pt idx="205">
                  <c:v>0.494552547961426</c:v>
                </c:pt>
                <c:pt idx="206">
                  <c:v>0.48485671303838496</c:v>
                </c:pt>
                <c:pt idx="207">
                  <c:v>0.47516086518721101</c:v>
                </c:pt>
                <c:pt idx="208">
                  <c:v>0.46547268225260008</c:v>
                </c:pt>
                <c:pt idx="209">
                  <c:v>0.45579967795076026</c:v>
                </c:pt>
                <c:pt idx="210">
                  <c:v>0.44614919332001385</c:v>
                </c:pt>
                <c:pt idx="211">
                  <c:v>0.43652838868902999</c:v>
                </c:pt>
                <c:pt idx="212">
                  <c:v>0.42694423617099414</c:v>
                </c:pt>
                <c:pt idx="213">
                  <c:v>0.41740351269039755</c:v>
                </c:pt>
                <c:pt idx="214">
                  <c:v>0.40791279354750853</c:v>
                </c:pt>
                <c:pt idx="215">
                  <c:v>0.39847844652399828</c:v>
                </c:pt>
                <c:pt idx="216">
                  <c:v>0.38910662653160316</c:v>
                </c:pt>
                <c:pt idx="217">
                  <c:v>0.37980327080417897</c:v>
                </c:pt>
                <c:pt idx="218">
                  <c:v>0.37057409463197466</c:v>
                </c:pt>
                <c:pt idx="219">
                  <c:v>0.36142458763549035</c:v>
                </c:pt>
                <c:pt idx="220">
                  <c:v>0.35236001057485672</c:v>
                </c:pt>
                <c:pt idx="221">
                  <c:v>0.34338539268928081</c:v>
                </c:pt>
                <c:pt idx="222">
                  <c:v>0.33450552955977708</c:v>
                </c:pt>
                <c:pt idx="223">
                  <c:v>0.32572498148713103</c:v>
                </c:pt>
                <c:pt idx="224">
                  <c:v>0.31704807237580562</c:v>
                </c:pt>
                <c:pt idx="225">
                  <c:v>0.30847888911336485</c:v>
                </c:pt>
                <c:pt idx="226">
                  <c:v>0.30002128143386847</c:v>
                </c:pt>
                <c:pt idx="227">
                  <c:v>0.29167886225267997</c:v>
                </c:pt>
                <c:pt idx="228">
                  <c:v>0.28345500845914662</c:v>
                </c:pt>
                <c:pt idx="229">
                  <c:v>0.27535286215273597</c:v>
                </c:pt>
                <c:pt idx="230">
                  <c:v>0.26737533230736876</c:v>
                </c:pt>
                <c:pt idx="231">
                  <c:v>0.25952509684794794</c:v>
                </c:pt>
                <c:pt idx="232">
                  <c:v>0.2518046051223829</c:v>
                </c:pt>
                <c:pt idx="233">
                  <c:v>0.24421608075182372</c:v>
                </c:pt>
                <c:pt idx="234">
                  <c:v>0.23676152484125484</c:v>
                </c:pt>
                <c:pt idx="235">
                  <c:v>0.22944271953215137</c:v>
                </c:pt>
                <c:pt idx="236">
                  <c:v>0.2222612318784874</c:v>
                </c:pt>
                <c:pt idx="237">
                  <c:v>0.21521841802708513</c:v>
                </c:pt>
                <c:pt idx="238">
                  <c:v>0.20831542768301711</c:v>
                </c:pt>
                <c:pt idx="239">
                  <c:v>0.20155320884059907</c:v>
                </c:pt>
                <c:pt idx="240">
                  <c:v>0.19493251276039603</c:v>
                </c:pt>
                <c:pt idx="241">
                  <c:v>0.18845389917259392</c:v>
                </c:pt>
                <c:pt idx="242">
                  <c:v>0.18211774168712405</c:v>
                </c:pt>
                <c:pt idx="243">
                  <c:v>0.17592423339097754</c:v>
                </c:pt>
                <c:pt idx="244">
                  <c:v>0.16987339261328774</c:v>
                </c:pt>
                <c:pt idx="245">
                  <c:v>0.16396506883894862</c:v>
                </c:pt>
                <c:pt idx="246">
                  <c:v>0.15819894875176629</c:v>
                </c:pt>
                <c:pt idx="247">
                  <c:v>0.15257456238845307</c:v>
                </c:pt>
                <c:pt idx="248">
                  <c:v>0.1470912893850973</c:v>
                </c:pt>
                <c:pt idx="249">
                  <c:v>0.14174836529813953</c:v>
                </c:pt>
                <c:pt idx="250">
                  <c:v>0.13654488798231643</c:v>
                </c:pt>
                <c:pt idx="251">
                  <c:v>0.13147982400849589</c:v>
                </c:pt>
                <c:pt idx="252">
                  <c:v>0.12655201510484645</c:v>
                </c:pt>
                <c:pt idx="253">
                  <c:v>0.1217601846053139</c:v>
                </c:pt>
                <c:pt idx="254">
                  <c:v>0.11710294388995295</c:v>
                </c:pt>
                <c:pt idx="255">
                  <c:v>0.11257879880226368</c:v>
                </c:pt>
                <c:pt idx="256">
                  <c:v>0.10818615602929624</c:v>
                </c:pt>
                <c:pt idx="257">
                  <c:v>0.10392332943094161</c:v>
                </c:pt>
                <c:pt idx="258">
                  <c:v>9.9788546305482062E-2</c:v>
                </c:pt>
                <c:pt idx="259">
                  <c:v>9.5779953579146593E-2</c:v>
                </c:pt>
                <c:pt idx="260">
                  <c:v>9.1895623908119409E-2</c:v>
                </c:pt>
                <c:pt idx="261">
                  <c:v>8.8133561682132738E-2</c:v>
                </c:pt>
                <c:pt idx="262">
                  <c:v>8.4491708919487263E-2</c:v>
                </c:pt>
                <c:pt idx="263">
                  <c:v>8.0967951044050052E-2</c:v>
                </c:pt>
                <c:pt idx="264">
                  <c:v>7.756012253548536E-2</c:v>
                </c:pt>
                <c:pt idx="265">
                  <c:v>7.4266012444684948E-2</c:v>
                </c:pt>
                <c:pt idx="266">
                  <c:v>7.1083369767064655E-2</c:v>
                </c:pt>
                <c:pt idx="267">
                  <c:v>6.8009908667089988E-2</c:v>
                </c:pt>
                <c:pt idx="268">
                  <c:v>6.5043313548085083E-2</c:v>
                </c:pt>
                <c:pt idx="269">
                  <c:v>6.2181243962050138E-2</c:v>
                </c:pt>
                <c:pt idx="270">
                  <c:v>5.9421339354886644E-2</c:v>
                </c:pt>
                <c:pt idx="271">
                  <c:v>5.6761223643071075E-2</c:v>
                </c:pt>
                <c:pt idx="272">
                  <c:v>5.4198509618458325E-2</c:v>
                </c:pt>
                <c:pt idx="273">
                  <c:v>5.173080317851049E-2</c:v>
                </c:pt>
                <c:pt idx="274">
                  <c:v>4.9355707379844828E-2</c:v>
                </c:pt>
                <c:pt idx="275">
                  <c:v>4.7070826313574413E-2</c:v>
                </c:pt>
                <c:pt idx="276">
                  <c:v>4.4873768801469427E-2</c:v>
                </c:pt>
                <c:pt idx="277">
                  <c:v>4.2762151912502239E-2</c:v>
                </c:pt>
                <c:pt idx="278">
                  <c:v>4.0733604299851553E-2</c:v>
                </c:pt>
                <c:pt idx="279">
                  <c:v>3.8785769358924554E-2</c:v>
                </c:pt>
                <c:pt idx="280">
                  <c:v>3.6916308207424871E-2</c:v>
                </c:pt>
                <c:pt idx="281">
                  <c:v>3.5122902488926369E-2</c:v>
                </c:pt>
                <c:pt idx="282">
                  <c:v>3.3403257001826094E-2</c:v>
                </c:pt>
                <c:pt idx="283">
                  <c:v>3.1755102155941212E-2</c:v>
                </c:pt>
                <c:pt idx="284">
                  <c:v>3.017619625936923E-2</c:v>
                </c:pt>
                <c:pt idx="285">
                  <c:v>2.8664327638571498E-2</c:v>
                </c:pt>
                <c:pt idx="286">
                  <c:v>2.721731659494734E-2</c:v>
                </c:pt>
                <c:pt idx="287">
                  <c:v>2.5833017201450471E-2</c:v>
                </c:pt>
                <c:pt idx="288">
                  <c:v>2.4509318943060177E-2</c:v>
                </c:pt>
                <c:pt idx="289">
                  <c:v>2.3244148205152058E-2</c:v>
                </c:pt>
                <c:pt idx="290">
                  <c:v>2.2035469614024174E-2</c:v>
                </c:pt>
                <c:pt idx="291">
                  <c:v>2.0881287234020215E-2</c:v>
                </c:pt>
                <c:pt idx="292">
                  <c:v>1.9779645625852445E-2</c:v>
                </c:pt>
                <c:pt idx="293">
                  <c:v>1.8728630770870003E-2</c:v>
                </c:pt>
                <c:pt idx="294">
                  <c:v>1.772637086613315E-2</c:v>
                </c:pt>
                <c:pt idx="295">
                  <c:v>1.677103699525035E-2</c:v>
                </c:pt>
                <c:pt idx="296">
                  <c:v>1.5860843680015158E-2</c:v>
                </c:pt>
                <c:pt idx="297">
                  <c:v>1.4994049317929638E-2</c:v>
                </c:pt>
                <c:pt idx="298">
                  <c:v>1.4168956510744417E-2</c:v>
                </c:pt>
                <c:pt idx="299">
                  <c:v>1.3383912289161382E-2</c:v>
                </c:pt>
                <c:pt idx="300">
                  <c:v>1.263730823884851E-2</c:v>
                </c:pt>
                <c:pt idx="301">
                  <c:v>1.1927580532902899E-2</c:v>
                </c:pt>
                <c:pt idx="302">
                  <c:v>1.1253209875867644E-2</c:v>
                </c:pt>
                <c:pt idx="303">
                  <c:v>1.0612721364367144E-2</c:v>
                </c:pt>
                <c:pt idx="304">
                  <c:v>1.0004684269367086E-2</c:v>
                </c:pt>
                <c:pt idx="305">
                  <c:v>9.4277117449964084E-3</c:v>
                </c:pt>
                <c:pt idx="306">
                  <c:v>8.8804604687896735E-3</c:v>
                </c:pt>
                <c:pt idx="307">
                  <c:v>8.3616302181156957E-3</c:v>
                </c:pt>
                <c:pt idx="308">
                  <c:v>7.8699633874584202E-3</c:v>
                </c:pt>
                <c:pt idx="309">
                  <c:v>7.404244451107214E-3</c:v>
                </c:pt>
                <c:pt idx="310">
                  <c:v>6.9632993756957324E-3</c:v>
                </c:pt>
                <c:pt idx="311">
                  <c:v>6.5459949869057076E-3</c:v>
                </c:pt>
                <c:pt idx="312">
                  <c:v>6.1512382945210688E-3</c:v>
                </c:pt>
              </c:numCache>
            </c:numRef>
          </c:val>
        </c:ser>
        <c:ser>
          <c:idx val="1"/>
          <c:order val="2"/>
          <c:tx>
            <c:v>Above Upper Spec</c:v>
          </c:tx>
          <c:spPr>
            <a:solidFill>
              <a:srgbClr val="3333CC"/>
            </a:solidFill>
            <a:ln w="12700">
              <a:solidFill>
                <a:srgbClr val="000000"/>
              </a:solidFill>
              <a:prstDash val="solid"/>
            </a:ln>
          </c:spPr>
          <c:cat>
            <c:numRef>
              <c:f>Capability!$K$4:$K$316</c:f>
              <c:numCache>
                <c:formatCode>General</c:formatCode>
                <c:ptCount val="313"/>
                <c:pt idx="0">
                  <c:v>2.9805384780739468</c:v>
                </c:pt>
                <c:pt idx="1">
                  <c:v>3.0030270134709087</c:v>
                </c:pt>
                <c:pt idx="3">
                  <c:v>3.0255155488678707</c:v>
                </c:pt>
                <c:pt idx="4">
                  <c:v>3.0480040842648326</c:v>
                </c:pt>
                <c:pt idx="5">
                  <c:v>3.0929811550587565</c:v>
                </c:pt>
                <c:pt idx="6">
                  <c:v>3.1154696904557184</c:v>
                </c:pt>
                <c:pt idx="7">
                  <c:v>3.1379582258526799</c:v>
                </c:pt>
                <c:pt idx="8">
                  <c:v>3.1604467612496419</c:v>
                </c:pt>
                <c:pt idx="9">
                  <c:v>3.1829352966466038</c:v>
                </c:pt>
                <c:pt idx="10">
                  <c:v>3.2054238320435657</c:v>
                </c:pt>
                <c:pt idx="11">
                  <c:v>3.2279123674405277</c:v>
                </c:pt>
                <c:pt idx="12">
                  <c:v>3.2504009028374896</c:v>
                </c:pt>
                <c:pt idx="13">
                  <c:v>3.2728894382344516</c:v>
                </c:pt>
                <c:pt idx="14">
                  <c:v>3.2953779736314135</c:v>
                </c:pt>
                <c:pt idx="15">
                  <c:v>3.3178665090283754</c:v>
                </c:pt>
                <c:pt idx="16">
                  <c:v>3.3403550444253374</c:v>
                </c:pt>
                <c:pt idx="17">
                  <c:v>3.3628435798222993</c:v>
                </c:pt>
                <c:pt idx="18">
                  <c:v>3.3853321152192608</c:v>
                </c:pt>
                <c:pt idx="19">
                  <c:v>3.4078206506162223</c:v>
                </c:pt>
                <c:pt idx="20">
                  <c:v>3.4303091860131842</c:v>
                </c:pt>
                <c:pt idx="21">
                  <c:v>3.4527977214101462</c:v>
                </c:pt>
                <c:pt idx="22">
                  <c:v>3.4752862568071081</c:v>
                </c:pt>
                <c:pt idx="23">
                  <c:v>3.4977747922040701</c:v>
                </c:pt>
                <c:pt idx="24">
                  <c:v>3.520263327601032</c:v>
                </c:pt>
                <c:pt idx="25">
                  <c:v>3.5427518629979939</c:v>
                </c:pt>
                <c:pt idx="26">
                  <c:v>3.5652403983949559</c:v>
                </c:pt>
                <c:pt idx="27">
                  <c:v>3.5877289337919178</c:v>
                </c:pt>
                <c:pt idx="28">
                  <c:v>3.6102174691888798</c:v>
                </c:pt>
                <c:pt idx="29">
                  <c:v>3.6327060045858413</c:v>
                </c:pt>
                <c:pt idx="30">
                  <c:v>3.6551945399828032</c:v>
                </c:pt>
                <c:pt idx="31">
                  <c:v>3.6776830753797651</c:v>
                </c:pt>
                <c:pt idx="32">
                  <c:v>3.7001716107767271</c:v>
                </c:pt>
                <c:pt idx="33">
                  <c:v>3.722660146173689</c:v>
                </c:pt>
                <c:pt idx="34">
                  <c:v>3.745148681570651</c:v>
                </c:pt>
                <c:pt idx="35">
                  <c:v>3.7676372169676129</c:v>
                </c:pt>
                <c:pt idx="36">
                  <c:v>3.7901257523645748</c:v>
                </c:pt>
                <c:pt idx="37">
                  <c:v>3.8126142877615368</c:v>
                </c:pt>
                <c:pt idx="38">
                  <c:v>3.8351028231584987</c:v>
                </c:pt>
                <c:pt idx="39">
                  <c:v>3.8575913585554606</c:v>
                </c:pt>
                <c:pt idx="40">
                  <c:v>3.8800798939524221</c:v>
                </c:pt>
                <c:pt idx="41">
                  <c:v>3.9025684293493841</c:v>
                </c:pt>
                <c:pt idx="42">
                  <c:v>3.925056964746346</c:v>
                </c:pt>
                <c:pt idx="43">
                  <c:v>3.947545500143308</c:v>
                </c:pt>
                <c:pt idx="44">
                  <c:v>3.9700340355402695</c:v>
                </c:pt>
                <c:pt idx="45">
                  <c:v>3.9925225709372314</c:v>
                </c:pt>
                <c:pt idx="46">
                  <c:v>4.0150111063341933</c:v>
                </c:pt>
                <c:pt idx="47">
                  <c:v>4.0374996417311557</c:v>
                </c:pt>
                <c:pt idx="48">
                  <c:v>4.0599881771281172</c:v>
                </c:pt>
                <c:pt idx="49">
                  <c:v>4.0824767125250787</c:v>
                </c:pt>
                <c:pt idx="50">
                  <c:v>4.1049652479220411</c:v>
                </c:pt>
                <c:pt idx="51">
                  <c:v>4.1274537833190026</c:v>
                </c:pt>
                <c:pt idx="52">
                  <c:v>4.149942318715965</c:v>
                </c:pt>
                <c:pt idx="53">
                  <c:v>4.1724308541129265</c:v>
                </c:pt>
                <c:pt idx="54">
                  <c:v>4.194919389509888</c:v>
                </c:pt>
                <c:pt idx="55">
                  <c:v>4.2174079249068503</c:v>
                </c:pt>
                <c:pt idx="56">
                  <c:v>4.2398964603038127</c:v>
                </c:pt>
                <c:pt idx="57">
                  <c:v>4.2623849957007742</c:v>
                </c:pt>
                <c:pt idx="58">
                  <c:v>4.2848735310977357</c:v>
                </c:pt>
                <c:pt idx="59">
                  <c:v>4.3073620664946981</c:v>
                </c:pt>
                <c:pt idx="60">
                  <c:v>4.3298506018916605</c:v>
                </c:pt>
                <c:pt idx="61">
                  <c:v>4.352339137288622</c:v>
                </c:pt>
                <c:pt idx="62">
                  <c:v>4.3748276726855835</c:v>
                </c:pt>
                <c:pt idx="63">
                  <c:v>4.397316208082545</c:v>
                </c:pt>
                <c:pt idx="64">
                  <c:v>4.4198047434795074</c:v>
                </c:pt>
                <c:pt idx="65">
                  <c:v>4.4422932788764697</c:v>
                </c:pt>
                <c:pt idx="66">
                  <c:v>4.4647818142734312</c:v>
                </c:pt>
                <c:pt idx="67">
                  <c:v>4.4872703496703927</c:v>
                </c:pt>
                <c:pt idx="68">
                  <c:v>4.5097588850673551</c:v>
                </c:pt>
                <c:pt idx="69">
                  <c:v>4.5322474204643166</c:v>
                </c:pt>
                <c:pt idx="70">
                  <c:v>4.554735955861279</c:v>
                </c:pt>
                <c:pt idx="71">
                  <c:v>4.5772244912582405</c:v>
                </c:pt>
                <c:pt idx="72">
                  <c:v>4.599713026655202</c:v>
                </c:pt>
                <c:pt idx="73">
                  <c:v>4.6222015620521644</c:v>
                </c:pt>
                <c:pt idx="74">
                  <c:v>4.6446900974491268</c:v>
                </c:pt>
                <c:pt idx="75">
                  <c:v>4.6671786328460882</c:v>
                </c:pt>
                <c:pt idx="76">
                  <c:v>4.6896671682430497</c:v>
                </c:pt>
                <c:pt idx="77">
                  <c:v>4.7121557036400112</c:v>
                </c:pt>
                <c:pt idx="78">
                  <c:v>4.7346442390369736</c:v>
                </c:pt>
                <c:pt idx="79">
                  <c:v>4.757132774433936</c:v>
                </c:pt>
                <c:pt idx="80">
                  <c:v>4.7796213098308975</c:v>
                </c:pt>
                <c:pt idx="81">
                  <c:v>4.802109845227859</c:v>
                </c:pt>
                <c:pt idx="82">
                  <c:v>4.8245983806248214</c:v>
                </c:pt>
                <c:pt idx="83">
                  <c:v>4.8470869160217829</c:v>
                </c:pt>
                <c:pt idx="84">
                  <c:v>4.8695754514187453</c:v>
                </c:pt>
                <c:pt idx="85">
                  <c:v>4.8920639868157068</c:v>
                </c:pt>
                <c:pt idx="86">
                  <c:v>4.9145525222126691</c:v>
                </c:pt>
                <c:pt idx="87">
                  <c:v>4.9370410576096306</c:v>
                </c:pt>
                <c:pt idx="88">
                  <c:v>4.9595295930065921</c:v>
                </c:pt>
                <c:pt idx="89">
                  <c:v>4.9820181284035545</c:v>
                </c:pt>
                <c:pt idx="90">
                  <c:v>5.004506663800516</c:v>
                </c:pt>
                <c:pt idx="91">
                  <c:v>5.0269951991974784</c:v>
                </c:pt>
                <c:pt idx="92">
                  <c:v>5.0494837345944399</c:v>
                </c:pt>
                <c:pt idx="93">
                  <c:v>5.0719722699914023</c:v>
                </c:pt>
                <c:pt idx="94">
                  <c:v>5.0944608053883638</c:v>
                </c:pt>
                <c:pt idx="95">
                  <c:v>5.1169493407853253</c:v>
                </c:pt>
                <c:pt idx="96">
                  <c:v>5.1394378761822876</c:v>
                </c:pt>
                <c:pt idx="97">
                  <c:v>5.16192641157925</c:v>
                </c:pt>
                <c:pt idx="98">
                  <c:v>5.1844149469762115</c:v>
                </c:pt>
                <c:pt idx="99">
                  <c:v>5.206903482373173</c:v>
                </c:pt>
                <c:pt idx="100">
                  <c:v>5.2293920177701345</c:v>
                </c:pt>
                <c:pt idx="101">
                  <c:v>5.2518805531670969</c:v>
                </c:pt>
                <c:pt idx="102">
                  <c:v>5.2743690885640593</c:v>
                </c:pt>
                <c:pt idx="103">
                  <c:v>5.2968576239610208</c:v>
                </c:pt>
                <c:pt idx="104">
                  <c:v>5.3193461593579823</c:v>
                </c:pt>
                <c:pt idx="105">
                  <c:v>5.3418346947549447</c:v>
                </c:pt>
                <c:pt idx="106">
                  <c:v>5.3643232301519062</c:v>
                </c:pt>
                <c:pt idx="107">
                  <c:v>5.3868117655488685</c:v>
                </c:pt>
                <c:pt idx="108">
                  <c:v>5.40930030094583</c:v>
                </c:pt>
                <c:pt idx="109">
                  <c:v>5.4317888363427915</c:v>
                </c:pt>
                <c:pt idx="110">
                  <c:v>5.4542773717397539</c:v>
                </c:pt>
                <c:pt idx="111">
                  <c:v>5.4767659071367163</c:v>
                </c:pt>
                <c:pt idx="112">
                  <c:v>5.4992544425336778</c:v>
                </c:pt>
                <c:pt idx="113">
                  <c:v>5.5217429779306393</c:v>
                </c:pt>
                <c:pt idx="114">
                  <c:v>5.5442315133276017</c:v>
                </c:pt>
                <c:pt idx="115">
                  <c:v>5.5667200487245632</c:v>
                </c:pt>
                <c:pt idx="116">
                  <c:v>5.5892085841215255</c:v>
                </c:pt>
                <c:pt idx="117">
                  <c:v>5.611697119518487</c:v>
                </c:pt>
                <c:pt idx="118">
                  <c:v>5.6341856549154485</c:v>
                </c:pt>
                <c:pt idx="119">
                  <c:v>5.6566741903124109</c:v>
                </c:pt>
                <c:pt idx="120">
                  <c:v>5.6791627257093724</c:v>
                </c:pt>
                <c:pt idx="121">
                  <c:v>5.7016512611063348</c:v>
                </c:pt>
                <c:pt idx="122">
                  <c:v>5.7241397965032963</c:v>
                </c:pt>
                <c:pt idx="123">
                  <c:v>5.7466283319002587</c:v>
                </c:pt>
                <c:pt idx="124">
                  <c:v>5.7691168672972202</c:v>
                </c:pt>
                <c:pt idx="125">
                  <c:v>5.7916054026941826</c:v>
                </c:pt>
                <c:pt idx="126">
                  <c:v>5.8140939380911441</c:v>
                </c:pt>
                <c:pt idx="127">
                  <c:v>5.8365824734881055</c:v>
                </c:pt>
                <c:pt idx="128">
                  <c:v>5.8590710088850679</c:v>
                </c:pt>
                <c:pt idx="129">
                  <c:v>5.8815595442820294</c:v>
                </c:pt>
                <c:pt idx="130">
                  <c:v>5.9040480796789918</c:v>
                </c:pt>
                <c:pt idx="131">
                  <c:v>5.9265366150759533</c:v>
                </c:pt>
                <c:pt idx="132">
                  <c:v>5.9490251504729157</c:v>
                </c:pt>
                <c:pt idx="133">
                  <c:v>5.9715136858698772</c:v>
                </c:pt>
                <c:pt idx="134">
                  <c:v>5.9940022212668387</c:v>
                </c:pt>
                <c:pt idx="135">
                  <c:v>6.0164907566638011</c:v>
                </c:pt>
                <c:pt idx="136">
                  <c:v>6.0389792920607626</c:v>
                </c:pt>
                <c:pt idx="137">
                  <c:v>6.0614678274577249</c:v>
                </c:pt>
                <c:pt idx="138">
                  <c:v>6.0839563628546864</c:v>
                </c:pt>
                <c:pt idx="139">
                  <c:v>6.1064448982516488</c:v>
                </c:pt>
                <c:pt idx="140">
                  <c:v>6.1289334336486103</c:v>
                </c:pt>
                <c:pt idx="141">
                  <c:v>6.1514219690455718</c:v>
                </c:pt>
                <c:pt idx="142">
                  <c:v>6.1739105044425342</c:v>
                </c:pt>
                <c:pt idx="143">
                  <c:v>6.1963990398394957</c:v>
                </c:pt>
                <c:pt idx="144">
                  <c:v>6.2188875752364581</c:v>
                </c:pt>
                <c:pt idx="145">
                  <c:v>6.2413761106334196</c:v>
                </c:pt>
                <c:pt idx="146">
                  <c:v>6.263864646030382</c:v>
                </c:pt>
                <c:pt idx="147">
                  <c:v>6.2863531814273435</c:v>
                </c:pt>
                <c:pt idx="148">
                  <c:v>6.3088417168243058</c:v>
                </c:pt>
                <c:pt idx="149">
                  <c:v>6.3313302522212673</c:v>
                </c:pt>
                <c:pt idx="150">
                  <c:v>6.3538187876182288</c:v>
                </c:pt>
                <c:pt idx="151">
                  <c:v>6.3763073230151912</c:v>
                </c:pt>
                <c:pt idx="152">
                  <c:v>6.3987958584121527</c:v>
                </c:pt>
                <c:pt idx="153">
                  <c:v>6.4212843938091151</c:v>
                </c:pt>
                <c:pt idx="154">
                  <c:v>6.4437729292060766</c:v>
                </c:pt>
                <c:pt idx="155">
                  <c:v>6.466261464603039</c:v>
                </c:pt>
                <c:pt idx="156">
                  <c:v>6.4887500000000005</c:v>
                </c:pt>
                <c:pt idx="157">
                  <c:v>6.511238535396962</c:v>
                </c:pt>
                <c:pt idx="158">
                  <c:v>6.5337270707939243</c:v>
                </c:pt>
                <c:pt idx="159">
                  <c:v>6.5562156061908858</c:v>
                </c:pt>
                <c:pt idx="160">
                  <c:v>6.5787041415878482</c:v>
                </c:pt>
                <c:pt idx="161">
                  <c:v>6.6011926769848097</c:v>
                </c:pt>
                <c:pt idx="162">
                  <c:v>6.6236812123817721</c:v>
                </c:pt>
                <c:pt idx="163">
                  <c:v>6.6461697477787336</c:v>
                </c:pt>
                <c:pt idx="164">
                  <c:v>6.6686582831756951</c:v>
                </c:pt>
                <c:pt idx="165">
                  <c:v>6.6911468185726575</c:v>
                </c:pt>
                <c:pt idx="166">
                  <c:v>6.713635353969619</c:v>
                </c:pt>
                <c:pt idx="167">
                  <c:v>6.7361238893665814</c:v>
                </c:pt>
                <c:pt idx="168">
                  <c:v>6.7586124247635428</c:v>
                </c:pt>
                <c:pt idx="169">
                  <c:v>6.7811009601605052</c:v>
                </c:pt>
                <c:pt idx="170">
                  <c:v>6.8035894955574667</c:v>
                </c:pt>
                <c:pt idx="171">
                  <c:v>6.8260780309544291</c:v>
                </c:pt>
                <c:pt idx="172">
                  <c:v>6.8485665663513906</c:v>
                </c:pt>
                <c:pt idx="173">
                  <c:v>6.8710551017483521</c:v>
                </c:pt>
                <c:pt idx="174">
                  <c:v>6.8935436371453145</c:v>
                </c:pt>
                <c:pt idx="175">
                  <c:v>6.916032172542276</c:v>
                </c:pt>
                <c:pt idx="176">
                  <c:v>6.9385207079392384</c:v>
                </c:pt>
                <c:pt idx="177">
                  <c:v>6.9610092433361999</c:v>
                </c:pt>
                <c:pt idx="178">
                  <c:v>6.9834977787331622</c:v>
                </c:pt>
                <c:pt idx="179">
                  <c:v>7.0059863141301237</c:v>
                </c:pt>
                <c:pt idx="180">
                  <c:v>7.0284748495270852</c:v>
                </c:pt>
                <c:pt idx="181">
                  <c:v>7.0509633849240476</c:v>
                </c:pt>
                <c:pt idx="182">
                  <c:v>7.0734519203210091</c:v>
                </c:pt>
                <c:pt idx="183">
                  <c:v>7.0959404557179715</c:v>
                </c:pt>
                <c:pt idx="184">
                  <c:v>7.118428991114933</c:v>
                </c:pt>
                <c:pt idx="185">
                  <c:v>7.1409175265118954</c:v>
                </c:pt>
                <c:pt idx="186">
                  <c:v>7.1634060619088569</c:v>
                </c:pt>
                <c:pt idx="187">
                  <c:v>7.1858945973058184</c:v>
                </c:pt>
                <c:pt idx="188">
                  <c:v>7.2083831327027807</c:v>
                </c:pt>
                <c:pt idx="189">
                  <c:v>7.2308716680997422</c:v>
                </c:pt>
                <c:pt idx="190">
                  <c:v>7.2533602034967046</c:v>
                </c:pt>
                <c:pt idx="191">
                  <c:v>7.2758487388936661</c:v>
                </c:pt>
                <c:pt idx="192">
                  <c:v>7.2983372742906285</c:v>
                </c:pt>
                <c:pt idx="193">
                  <c:v>7.32082580968759</c:v>
                </c:pt>
                <c:pt idx="194">
                  <c:v>7.3433143450845524</c:v>
                </c:pt>
                <c:pt idx="195">
                  <c:v>7.3658028804815139</c:v>
                </c:pt>
                <c:pt idx="196">
                  <c:v>7.3882914158784754</c:v>
                </c:pt>
                <c:pt idx="197">
                  <c:v>7.4107799512754378</c:v>
                </c:pt>
                <c:pt idx="198">
                  <c:v>7.4332684866723993</c:v>
                </c:pt>
                <c:pt idx="199">
                  <c:v>7.4557570220693616</c:v>
                </c:pt>
                <c:pt idx="200">
                  <c:v>7.4782455574663231</c:v>
                </c:pt>
                <c:pt idx="201">
                  <c:v>7.5007340928632846</c:v>
                </c:pt>
                <c:pt idx="202">
                  <c:v>7.523222628260247</c:v>
                </c:pt>
                <c:pt idx="203">
                  <c:v>7.5457111636572094</c:v>
                </c:pt>
                <c:pt idx="204">
                  <c:v>7.5681996990541709</c:v>
                </c:pt>
                <c:pt idx="205">
                  <c:v>7.5906882344511324</c:v>
                </c:pt>
                <c:pt idx="206">
                  <c:v>7.6131767698480948</c:v>
                </c:pt>
                <c:pt idx="207">
                  <c:v>7.6356653052450563</c:v>
                </c:pt>
                <c:pt idx="208">
                  <c:v>7.6581538406420187</c:v>
                </c:pt>
                <c:pt idx="209">
                  <c:v>7.6806423760389801</c:v>
                </c:pt>
                <c:pt idx="210">
                  <c:v>7.7031309114359416</c:v>
                </c:pt>
                <c:pt idx="211">
                  <c:v>7.725619446832904</c:v>
                </c:pt>
                <c:pt idx="212">
                  <c:v>7.7481079822298664</c:v>
                </c:pt>
                <c:pt idx="213">
                  <c:v>7.7705965176268279</c:v>
                </c:pt>
                <c:pt idx="214">
                  <c:v>7.7930850530237894</c:v>
                </c:pt>
                <c:pt idx="215">
                  <c:v>7.8155735884207509</c:v>
                </c:pt>
                <c:pt idx="216">
                  <c:v>7.8380621238177133</c:v>
                </c:pt>
                <c:pt idx="217">
                  <c:v>7.8605506592146757</c:v>
                </c:pt>
                <c:pt idx="218">
                  <c:v>7.8830391946116372</c:v>
                </c:pt>
                <c:pt idx="219">
                  <c:v>7.9055277300085987</c:v>
                </c:pt>
                <c:pt idx="220">
                  <c:v>7.928016265405561</c:v>
                </c:pt>
                <c:pt idx="221">
                  <c:v>7.9505048008025225</c:v>
                </c:pt>
                <c:pt idx="222">
                  <c:v>7.9729933361994849</c:v>
                </c:pt>
                <c:pt idx="223">
                  <c:v>7.9954818715964464</c:v>
                </c:pt>
                <c:pt idx="224">
                  <c:v>8.0179704069934079</c:v>
                </c:pt>
                <c:pt idx="225">
                  <c:v>8.0404589423903694</c:v>
                </c:pt>
                <c:pt idx="226">
                  <c:v>8.0629474777873327</c:v>
                </c:pt>
                <c:pt idx="227">
                  <c:v>8.0854360131842942</c:v>
                </c:pt>
                <c:pt idx="228">
                  <c:v>8.1079245485812557</c:v>
                </c:pt>
                <c:pt idx="229">
                  <c:v>8.1304130839782172</c:v>
                </c:pt>
                <c:pt idx="230">
                  <c:v>8.1529016193751804</c:v>
                </c:pt>
                <c:pt idx="231">
                  <c:v>8.1753901547721419</c:v>
                </c:pt>
                <c:pt idx="232">
                  <c:v>8.1978786901691034</c:v>
                </c:pt>
                <c:pt idx="233">
                  <c:v>8.2203672255660649</c:v>
                </c:pt>
                <c:pt idx="234">
                  <c:v>8.2428557609630282</c:v>
                </c:pt>
                <c:pt idx="235">
                  <c:v>8.2653442963599897</c:v>
                </c:pt>
                <c:pt idx="236">
                  <c:v>8.2878328317569512</c:v>
                </c:pt>
                <c:pt idx="237">
                  <c:v>8.3103213671539127</c:v>
                </c:pt>
                <c:pt idx="238">
                  <c:v>8.3328099025508742</c:v>
                </c:pt>
                <c:pt idx="239">
                  <c:v>8.3552984379478374</c:v>
                </c:pt>
                <c:pt idx="240">
                  <c:v>8.3777869733447989</c:v>
                </c:pt>
                <c:pt idx="241">
                  <c:v>8.4002755087417604</c:v>
                </c:pt>
                <c:pt idx="242">
                  <c:v>8.4227640441387219</c:v>
                </c:pt>
                <c:pt idx="243">
                  <c:v>8.4452525795356834</c:v>
                </c:pt>
                <c:pt idx="244">
                  <c:v>8.4677411149326467</c:v>
                </c:pt>
                <c:pt idx="245">
                  <c:v>8.4902296503296082</c:v>
                </c:pt>
                <c:pt idx="246">
                  <c:v>8.5127181857265697</c:v>
                </c:pt>
                <c:pt idx="247">
                  <c:v>8.5352067211235312</c:v>
                </c:pt>
                <c:pt idx="248">
                  <c:v>8.5576952565204927</c:v>
                </c:pt>
                <c:pt idx="249">
                  <c:v>8.5801837919174559</c:v>
                </c:pt>
                <c:pt idx="250">
                  <c:v>8.6026723273144174</c:v>
                </c:pt>
                <c:pt idx="251">
                  <c:v>8.6251608627113789</c:v>
                </c:pt>
                <c:pt idx="252">
                  <c:v>8.6476493981083404</c:v>
                </c:pt>
                <c:pt idx="253">
                  <c:v>8.6701379335053019</c:v>
                </c:pt>
                <c:pt idx="254">
                  <c:v>8.6926264689022652</c:v>
                </c:pt>
                <c:pt idx="255">
                  <c:v>8.7151150042992267</c:v>
                </c:pt>
                <c:pt idx="256">
                  <c:v>8.7376035396961882</c:v>
                </c:pt>
                <c:pt idx="257">
                  <c:v>8.7600920750931515</c:v>
                </c:pt>
                <c:pt idx="258">
                  <c:v>8.782580610490113</c:v>
                </c:pt>
                <c:pt idx="259">
                  <c:v>8.8050691458870745</c:v>
                </c:pt>
                <c:pt idx="260">
                  <c:v>8.827557681284036</c:v>
                </c:pt>
                <c:pt idx="261">
                  <c:v>8.8500462166809974</c:v>
                </c:pt>
                <c:pt idx="262">
                  <c:v>8.8725347520779607</c:v>
                </c:pt>
                <c:pt idx="263">
                  <c:v>8.8950232874749222</c:v>
                </c:pt>
                <c:pt idx="264">
                  <c:v>8.9175118228718837</c:v>
                </c:pt>
                <c:pt idx="265">
                  <c:v>8.9400003582688452</c:v>
                </c:pt>
                <c:pt idx="266">
                  <c:v>8.9624888936658067</c:v>
                </c:pt>
                <c:pt idx="267">
                  <c:v>8.98497742906277</c:v>
                </c:pt>
                <c:pt idx="268">
                  <c:v>9.0074659644597315</c:v>
                </c:pt>
                <c:pt idx="269">
                  <c:v>9.029954499856693</c:v>
                </c:pt>
                <c:pt idx="270">
                  <c:v>9.0524430352536545</c:v>
                </c:pt>
                <c:pt idx="271">
                  <c:v>9.074931570650616</c:v>
                </c:pt>
                <c:pt idx="272">
                  <c:v>9.0974201060475792</c:v>
                </c:pt>
                <c:pt idx="273">
                  <c:v>9.1199086414445407</c:v>
                </c:pt>
                <c:pt idx="274">
                  <c:v>9.1423971768415022</c:v>
                </c:pt>
                <c:pt idx="275">
                  <c:v>9.1648857122384637</c:v>
                </c:pt>
                <c:pt idx="276">
                  <c:v>9.1873742476354252</c:v>
                </c:pt>
                <c:pt idx="277">
                  <c:v>9.2098627830323885</c:v>
                </c:pt>
                <c:pt idx="278">
                  <c:v>9.23235131842935</c:v>
                </c:pt>
                <c:pt idx="279">
                  <c:v>9.2548398538263115</c:v>
                </c:pt>
                <c:pt idx="280">
                  <c:v>9.2773283892232747</c:v>
                </c:pt>
                <c:pt idx="281">
                  <c:v>9.2998169246202362</c:v>
                </c:pt>
                <c:pt idx="282">
                  <c:v>9.3223054600171977</c:v>
                </c:pt>
                <c:pt idx="283">
                  <c:v>9.3447939954141592</c:v>
                </c:pt>
                <c:pt idx="284">
                  <c:v>9.3672825308111207</c:v>
                </c:pt>
                <c:pt idx="285">
                  <c:v>9.389771066208084</c:v>
                </c:pt>
                <c:pt idx="286">
                  <c:v>9.4122596016050455</c:v>
                </c:pt>
                <c:pt idx="287">
                  <c:v>9.434748137002007</c:v>
                </c:pt>
                <c:pt idx="288">
                  <c:v>9.4572366723989685</c:v>
                </c:pt>
                <c:pt idx="289">
                  <c:v>9.47972520779593</c:v>
                </c:pt>
                <c:pt idx="290">
                  <c:v>9.5022137431928932</c:v>
                </c:pt>
                <c:pt idx="291">
                  <c:v>9.5247022785898547</c:v>
                </c:pt>
                <c:pt idx="292">
                  <c:v>9.5471908139868162</c:v>
                </c:pt>
                <c:pt idx="293">
                  <c:v>9.5696793493837795</c:v>
                </c:pt>
                <c:pt idx="294">
                  <c:v>9.5921678847807392</c:v>
                </c:pt>
                <c:pt idx="295">
                  <c:v>9.6146564201777025</c:v>
                </c:pt>
                <c:pt idx="296">
                  <c:v>9.637144955574664</c:v>
                </c:pt>
                <c:pt idx="297">
                  <c:v>9.6596334909716255</c:v>
                </c:pt>
                <c:pt idx="298">
                  <c:v>9.682122026368587</c:v>
                </c:pt>
                <c:pt idx="299">
                  <c:v>9.7046105617655485</c:v>
                </c:pt>
                <c:pt idx="300">
                  <c:v>9.7270990971625118</c:v>
                </c:pt>
                <c:pt idx="301">
                  <c:v>9.7495876325594732</c:v>
                </c:pt>
                <c:pt idx="302">
                  <c:v>9.7720761679564347</c:v>
                </c:pt>
                <c:pt idx="303">
                  <c:v>9.794564703353398</c:v>
                </c:pt>
                <c:pt idx="304">
                  <c:v>9.8170532387503595</c:v>
                </c:pt>
                <c:pt idx="305">
                  <c:v>9.839541774147321</c:v>
                </c:pt>
                <c:pt idx="306">
                  <c:v>9.8620303095442825</c:v>
                </c:pt>
                <c:pt idx="307">
                  <c:v>9.884518844941244</c:v>
                </c:pt>
                <c:pt idx="308">
                  <c:v>9.9070073803382073</c:v>
                </c:pt>
                <c:pt idx="309">
                  <c:v>9.9294959157351688</c:v>
                </c:pt>
                <c:pt idx="310">
                  <c:v>9.9519844511321303</c:v>
                </c:pt>
                <c:pt idx="311">
                  <c:v>9.9744729865290918</c:v>
                </c:pt>
                <c:pt idx="312">
                  <c:v>9.9969615219260533</c:v>
                </c:pt>
              </c:numCache>
            </c:numRef>
          </c:cat>
          <c:val>
            <c:numRef>
              <c:f>Capability!$N$4:$N$316</c:f>
              <c:numCache>
                <c:formatCode>General</c:formatCode>
                <c:ptCount val="313"/>
                <c:pt idx="0">
                  <c:v>0</c:v>
                </c:pt>
                <c:pt idx="1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0.31704807237580562</c:v>
                </c:pt>
                <c:pt idx="225">
                  <c:v>0.30847888911336485</c:v>
                </c:pt>
                <c:pt idx="226">
                  <c:v>0.30002128143386847</c:v>
                </c:pt>
                <c:pt idx="227">
                  <c:v>0.29167886225267997</c:v>
                </c:pt>
                <c:pt idx="228">
                  <c:v>0.28345500845914662</c:v>
                </c:pt>
                <c:pt idx="229">
                  <c:v>0.27535286215273597</c:v>
                </c:pt>
                <c:pt idx="230">
                  <c:v>0.26737533230736876</c:v>
                </c:pt>
                <c:pt idx="231">
                  <c:v>0.25952509684794794</c:v>
                </c:pt>
                <c:pt idx="232">
                  <c:v>0.2518046051223829</c:v>
                </c:pt>
                <c:pt idx="233">
                  <c:v>0.24421608075182372</c:v>
                </c:pt>
                <c:pt idx="234">
                  <c:v>0.23676152484125484</c:v>
                </c:pt>
                <c:pt idx="235">
                  <c:v>0.22944271953215137</c:v>
                </c:pt>
                <c:pt idx="236">
                  <c:v>0.2222612318784874</c:v>
                </c:pt>
                <c:pt idx="237">
                  <c:v>0.21521841802708513</c:v>
                </c:pt>
                <c:pt idx="238">
                  <c:v>0.20831542768301711</c:v>
                </c:pt>
                <c:pt idx="239">
                  <c:v>0.20155320884059907</c:v>
                </c:pt>
                <c:pt idx="240">
                  <c:v>0.19493251276039603</c:v>
                </c:pt>
                <c:pt idx="241">
                  <c:v>0.18845389917259392</c:v>
                </c:pt>
                <c:pt idx="242">
                  <c:v>0.18211774168712405</c:v>
                </c:pt>
                <c:pt idx="243">
                  <c:v>0.17592423339097754</c:v>
                </c:pt>
                <c:pt idx="244">
                  <c:v>0.16987339261328774</c:v>
                </c:pt>
                <c:pt idx="245">
                  <c:v>0.16396506883894862</c:v>
                </c:pt>
                <c:pt idx="246">
                  <c:v>0.15819894875176629</c:v>
                </c:pt>
                <c:pt idx="247">
                  <c:v>0.15257456238845307</c:v>
                </c:pt>
                <c:pt idx="248">
                  <c:v>0.1470912893850973</c:v>
                </c:pt>
                <c:pt idx="249">
                  <c:v>0.14174836529813953</c:v>
                </c:pt>
                <c:pt idx="250">
                  <c:v>0.13654488798231643</c:v>
                </c:pt>
                <c:pt idx="251">
                  <c:v>0.13147982400849589</c:v>
                </c:pt>
                <c:pt idx="252">
                  <c:v>0.12655201510484645</c:v>
                </c:pt>
                <c:pt idx="253">
                  <c:v>0.1217601846053139</c:v>
                </c:pt>
                <c:pt idx="254">
                  <c:v>0.11710294388995295</c:v>
                </c:pt>
                <c:pt idx="255">
                  <c:v>0.11257879880226368</c:v>
                </c:pt>
                <c:pt idx="256">
                  <c:v>0.10818615602929624</c:v>
                </c:pt>
                <c:pt idx="257">
                  <c:v>0.10392332943094161</c:v>
                </c:pt>
                <c:pt idx="258">
                  <c:v>9.9788546305482062E-2</c:v>
                </c:pt>
                <c:pt idx="259">
                  <c:v>9.5779953579146593E-2</c:v>
                </c:pt>
                <c:pt idx="260">
                  <c:v>9.1895623908119409E-2</c:v>
                </c:pt>
                <c:pt idx="261">
                  <c:v>8.8133561682132738E-2</c:v>
                </c:pt>
                <c:pt idx="262">
                  <c:v>8.4491708919487263E-2</c:v>
                </c:pt>
                <c:pt idx="263">
                  <c:v>8.0967951044050052E-2</c:v>
                </c:pt>
                <c:pt idx="264">
                  <c:v>7.756012253548536E-2</c:v>
                </c:pt>
                <c:pt idx="265">
                  <c:v>7.4266012444684948E-2</c:v>
                </c:pt>
                <c:pt idx="266">
                  <c:v>7.1083369767064655E-2</c:v>
                </c:pt>
                <c:pt idx="267">
                  <c:v>6.8009908667089988E-2</c:v>
                </c:pt>
                <c:pt idx="268">
                  <c:v>6.5043313548085083E-2</c:v>
                </c:pt>
                <c:pt idx="269">
                  <c:v>6.2181243962050138E-2</c:v>
                </c:pt>
                <c:pt idx="270">
                  <c:v>5.9421339354886644E-2</c:v>
                </c:pt>
                <c:pt idx="271">
                  <c:v>5.6761223643071075E-2</c:v>
                </c:pt>
                <c:pt idx="272">
                  <c:v>5.4198509618458325E-2</c:v>
                </c:pt>
                <c:pt idx="273">
                  <c:v>5.173080317851049E-2</c:v>
                </c:pt>
                <c:pt idx="274">
                  <c:v>4.9355707379844828E-2</c:v>
                </c:pt>
                <c:pt idx="275">
                  <c:v>4.7070826313574413E-2</c:v>
                </c:pt>
                <c:pt idx="276">
                  <c:v>4.4873768801469427E-2</c:v>
                </c:pt>
                <c:pt idx="277">
                  <c:v>4.2762151912502239E-2</c:v>
                </c:pt>
                <c:pt idx="278">
                  <c:v>4.0733604299851553E-2</c:v>
                </c:pt>
                <c:pt idx="279">
                  <c:v>3.8785769358924554E-2</c:v>
                </c:pt>
                <c:pt idx="280">
                  <c:v>3.6916308207424871E-2</c:v>
                </c:pt>
                <c:pt idx="281">
                  <c:v>3.5122902488926369E-2</c:v>
                </c:pt>
                <c:pt idx="282">
                  <c:v>3.3403257001826094E-2</c:v>
                </c:pt>
                <c:pt idx="283">
                  <c:v>3.1755102155941212E-2</c:v>
                </c:pt>
                <c:pt idx="284">
                  <c:v>3.017619625936923E-2</c:v>
                </c:pt>
                <c:pt idx="285">
                  <c:v>2.8664327638571498E-2</c:v>
                </c:pt>
                <c:pt idx="286">
                  <c:v>2.721731659494734E-2</c:v>
                </c:pt>
                <c:pt idx="287">
                  <c:v>2.5833017201450471E-2</c:v>
                </c:pt>
                <c:pt idx="288">
                  <c:v>2.4509318943060177E-2</c:v>
                </c:pt>
                <c:pt idx="289">
                  <c:v>2.3244148205152058E-2</c:v>
                </c:pt>
                <c:pt idx="290">
                  <c:v>2.2035469614024174E-2</c:v>
                </c:pt>
                <c:pt idx="291">
                  <c:v>2.0881287234020215E-2</c:v>
                </c:pt>
                <c:pt idx="292">
                  <c:v>1.9779645625852445E-2</c:v>
                </c:pt>
                <c:pt idx="293">
                  <c:v>1.8728630770870003E-2</c:v>
                </c:pt>
                <c:pt idx="294">
                  <c:v>1.772637086613315E-2</c:v>
                </c:pt>
                <c:pt idx="295">
                  <c:v>1.677103699525035E-2</c:v>
                </c:pt>
                <c:pt idx="296">
                  <c:v>1.5860843680015158E-2</c:v>
                </c:pt>
                <c:pt idx="297">
                  <c:v>1.4994049317929638E-2</c:v>
                </c:pt>
                <c:pt idx="298">
                  <c:v>1.4168956510744417E-2</c:v>
                </c:pt>
                <c:pt idx="299">
                  <c:v>1.3383912289161382E-2</c:v>
                </c:pt>
                <c:pt idx="300">
                  <c:v>1.263730823884851E-2</c:v>
                </c:pt>
                <c:pt idx="301">
                  <c:v>1.1927580532902899E-2</c:v>
                </c:pt>
                <c:pt idx="302">
                  <c:v>1.1253209875867644E-2</c:v>
                </c:pt>
                <c:pt idx="303">
                  <c:v>1.0612721364367144E-2</c:v>
                </c:pt>
                <c:pt idx="304">
                  <c:v>1.0004684269367086E-2</c:v>
                </c:pt>
                <c:pt idx="305">
                  <c:v>9.4277117449964084E-3</c:v>
                </c:pt>
                <c:pt idx="306">
                  <c:v>8.8804604687896735E-3</c:v>
                </c:pt>
                <c:pt idx="307">
                  <c:v>8.3616302181156957E-3</c:v>
                </c:pt>
                <c:pt idx="308">
                  <c:v>7.8699633874584202E-3</c:v>
                </c:pt>
                <c:pt idx="309">
                  <c:v>7.404244451107214E-3</c:v>
                </c:pt>
                <c:pt idx="310">
                  <c:v>6.9632993756957324E-3</c:v>
                </c:pt>
                <c:pt idx="311">
                  <c:v>6.5459949869057076E-3</c:v>
                </c:pt>
                <c:pt idx="312">
                  <c:v>6.1512382945210688E-3</c:v>
                </c:pt>
              </c:numCache>
            </c:numRef>
          </c:val>
        </c:ser>
        <c:ser>
          <c:idx val="3"/>
          <c:order val="3"/>
          <c:tx>
            <c:v>Min. Target for Cp=1</c:v>
          </c:tx>
          <c:spPr>
            <a:noFill/>
            <a:ln w="25400">
              <a:solidFill>
                <a:srgbClr val="FFFF00"/>
              </a:solidFill>
              <a:prstDash val="sysDash"/>
            </a:ln>
          </c:spPr>
          <c:val>
            <c:numRef>
              <c:f>Capability!$Q$4:$Q$316</c:f>
              <c:numCache>
                <c:formatCode>General</c:formatCode>
                <c:ptCount val="313"/>
                <c:pt idx="0">
                  <c:v>4.7260266351423154E-5</c:v>
                </c:pt>
                <c:pt idx="1">
                  <c:v>5.5030265080332874E-5</c:v>
                </c:pt>
                <c:pt idx="3">
                  <c:v>6.400484646627223E-5</c:v>
                </c:pt>
                <c:pt idx="4">
                  <c:v>7.4358381953170232E-5</c:v>
                </c:pt>
                <c:pt idx="5">
                  <c:v>1.0001877214886788E-4</c:v>
                </c:pt>
                <c:pt idx="6">
                  <c:v>1.1580199353208319E-4</c:v>
                </c:pt>
                <c:pt idx="7">
                  <c:v>1.3392336973505224E-4</c:v>
                </c:pt>
                <c:pt idx="8">
                  <c:v>1.5470434675504962E-4</c:v>
                </c:pt>
                <c:pt idx="9">
                  <c:v>1.7850668287040434E-4</c:v>
                </c:pt>
                <c:pt idx="10">
                  <c:v>2.0573693167444545E-4</c:v>
                </c:pt>
                <c:pt idx="11">
                  <c:v>2.3685134365994122E-4</c:v>
                </c:pt>
                <c:pt idx="12">
                  <c:v>2.7236121477923654E-4</c:v>
                </c:pt>
                <c:pt idx="13">
                  <c:v>3.1283871093604779E-4</c:v>
                </c:pt>
                <c:pt idx="14">
                  <c:v>3.5892319769372644E-4</c:v>
                </c:pt>
                <c:pt idx="15">
                  <c:v>4.1132810457762784E-4</c:v>
                </c:pt>
                <c:pt idx="16">
                  <c:v>4.7084835316932284E-4</c:v>
                </c:pt>
                <c:pt idx="17">
                  <c:v>5.3836837769926109E-4</c:v>
                </c:pt>
                <c:pt idx="18">
                  <c:v>6.1487076600131229E-4</c:v>
                </c:pt>
                <c:pt idx="19">
                  <c:v>7.0144554745525569E-4</c:v>
                </c:pt>
                <c:pt idx="20">
                  <c:v>7.9930015286776464E-4</c:v>
                </c:pt>
                <c:pt idx="21">
                  <c:v>9.0977006908435961E-4</c:v>
                </c:pt>
                <c:pt idx="22">
                  <c:v>1.0343302084386738E-3</c:v>
                </c:pt>
                <c:pt idx="23">
                  <c:v>1.1746070098860484E-3</c:v>
                </c:pt>
                <c:pt idx="24">
                  <c:v>1.3323912847912937E-3</c:v>
                </c:pt>
                <c:pt idx="25">
                  <c:v>1.509651815802012E-3</c:v>
                </c:pt>
                <c:pt idx="26">
                  <c:v>1.7085497119977296E-3</c:v>
                </c:pt>
                <c:pt idx="27">
                  <c:v>1.9314535175229438E-3</c:v>
                </c:pt>
                <c:pt idx="28">
                  <c:v>2.1809550641539036E-3</c:v>
                </c:pt>
                <c:pt idx="29">
                  <c:v>2.4598860506850661E-3</c:v>
                </c:pt>
                <c:pt idx="30">
                  <c:v>2.7713353236267215E-3</c:v>
                </c:pt>
                <c:pt idx="31">
                  <c:v>3.1186668244634502E-3</c:v>
                </c:pt>
                <c:pt idx="32">
                  <c:v>3.505538158624233E-3</c:v>
                </c:pt>
                <c:pt idx="33">
                  <c:v>3.9359197303583055E-3</c:v>
                </c:pt>
                <c:pt idx="34">
                  <c:v>4.4141143759074096E-3</c:v>
                </c:pt>
                <c:pt idx="35">
                  <c:v>4.9447774147348255E-3</c:v>
                </c:pt>
                <c:pt idx="36">
                  <c:v>5.5329370251501996E-3</c:v>
                </c:pt>
                <c:pt idx="37">
                  <c:v>6.1840148365030732E-3</c:v>
                </c:pt>
                <c:pt idx="38">
                  <c:v>6.903846615271143E-3</c:v>
                </c:pt>
                <c:pt idx="39">
                  <c:v>7.6987029069190633E-3</c:v>
                </c:pt>
                <c:pt idx="40">
                  <c:v>8.5753094794461249E-3</c:v>
                </c:pt>
                <c:pt idx="41">
                  <c:v>9.5408673981882495E-3</c:v>
                </c:pt>
                <c:pt idx="42">
                  <c:v>1.0603072544822236E-2</c:v>
                </c:pt>
                <c:pt idx="43">
                  <c:v>1.1770134376787962E-2</c:v>
                </c:pt>
                <c:pt idx="44">
                  <c:v>1.3050793706661975E-2</c:v>
                </c:pt>
                <c:pt idx="45">
                  <c:v>1.4454339264573818E-2</c:v>
                </c:pt>
                <c:pt idx="46">
                  <c:v>1.5990622790753369E-2</c:v>
                </c:pt>
                <c:pt idx="47">
                  <c:v>1.7670072389959445E-2</c:v>
                </c:pt>
                <c:pt idx="48">
                  <c:v>1.9503703865101155E-2</c:v>
                </c:pt>
                <c:pt idx="49">
                  <c:v>2.1503129734079179E-2</c:v>
                </c:pt>
                <c:pt idx="50">
                  <c:v>2.3680565622007748E-2</c:v>
                </c:pt>
                <c:pt idx="51">
                  <c:v>2.6048833710810446E-2</c:v>
                </c:pt>
                <c:pt idx="52">
                  <c:v>2.8621362919999116E-2</c:v>
                </c:pt>
                <c:pt idx="53">
                  <c:v>3.1412185486531879E-2</c:v>
                </c:pt>
                <c:pt idx="54">
                  <c:v>3.4435929608312724E-2</c:v>
                </c:pt>
                <c:pt idx="55">
                  <c:v>3.7707807815415897E-2</c:v>
                </c:pt>
                <c:pt idx="56">
                  <c:v>4.1243600735802147E-2</c:v>
                </c:pt>
                <c:pt idx="57">
                  <c:v>4.5059635928408927E-2</c:v>
                </c:pt>
                <c:pt idx="58">
                  <c:v>4.9172761466313761E-2</c:v>
                </c:pt>
                <c:pt idx="59">
                  <c:v>5.3600313966437246E-2</c:v>
                </c:pt>
                <c:pt idx="60">
                  <c:v>5.8360080780198553E-2</c:v>
                </c:pt>
                <c:pt idx="61">
                  <c:v>6.3470256081852319E-2</c:v>
                </c:pt>
                <c:pt idx="62">
                  <c:v>6.8949390618089357E-2</c:v>
                </c:pt>
                <c:pt idx="63">
                  <c:v>7.4816334913993199E-2</c:v>
                </c:pt>
                <c:pt idx="64">
                  <c:v>8.1090175766702979E-2</c:v>
                </c:pt>
                <c:pt idx="65">
                  <c:v>8.7790165899150271E-2</c:v>
                </c:pt>
                <c:pt idx="66">
                  <c:v>9.4935646692014708E-2</c:v>
                </c:pt>
                <c:pt idx="67">
                  <c:v>0.10254596396247789</c:v>
                </c:pt>
                <c:pt idx="68">
                  <c:v>0.11064037681331564</c:v>
                </c:pt>
                <c:pt idx="69">
                  <c:v>0.11923795963514887</c:v>
                </c:pt>
                <c:pt idx="70">
                  <c:v>0.12835749740798955</c:v>
                </c:pt>
                <c:pt idx="71">
                  <c:v>0.13801737451521273</c:v>
                </c:pt>
                <c:pt idx="72">
                  <c:v>0.14823545735338173</c:v>
                </c:pt>
                <c:pt idx="73">
                  <c:v>0.15902897109439426</c:v>
                </c:pt>
                <c:pt idx="74">
                  <c:v>0.17041437103171142</c:v>
                </c:pt>
                <c:pt idx="75">
                  <c:v>0.18240720901930119</c:v>
                </c:pt>
                <c:pt idx="76">
                  <c:v>0.19502199558969416</c:v>
                </c:pt>
                <c:pt idx="77">
                  <c:v>0.20827205841545005</c:v>
                </c:pt>
                <c:pt idx="78">
                  <c:v>0.22216939785557024</c:v>
                </c:pt>
                <c:pt idx="79">
                  <c:v>0.23672454040406343</c:v>
                </c:pt>
                <c:pt idx="80">
                  <c:v>0.25194639093111421</c:v>
                </c:pt>
                <c:pt idx="81">
                  <c:v>0.2678420846771366</c:v>
                </c:pt>
                <c:pt idx="82">
                  <c:v>0.28441684002547502</c:v>
                </c:pt>
                <c:pt idx="83">
                  <c:v>0.30167381313966013</c:v>
                </c:pt>
                <c:pt idx="84">
                  <c:v>0.31961395560495759</c:v>
                </c:pt>
                <c:pt idx="85">
                  <c:v>0.33823587626045865</c:v>
                </c:pt>
                <c:pt idx="86">
                  <c:v>0.35753570844629939</c:v>
                </c:pt>
                <c:pt idx="87">
                  <c:v>0.37750698391971055</c:v>
                </c:pt>
                <c:pt idx="88">
                  <c:v>0.39814051471280948</c:v>
                </c:pt>
                <c:pt idx="89">
                  <c:v>0.41942428421337874</c:v>
                </c:pt>
                <c:pt idx="90">
                  <c:v>0.44134334874677816</c:v>
                </c:pt>
                <c:pt idx="91">
                  <c:v>0.46387975092191364</c:v>
                </c:pt>
                <c:pt idx="92">
                  <c:v>0.48701244597629245</c:v>
                </c:pt>
                <c:pt idx="93">
                  <c:v>0.51071724231439108</c:v>
                </c:pt>
                <c:pt idx="94">
                  <c:v>0.53496675737936372</c:v>
                </c:pt>
                <c:pt idx="95">
                  <c:v>0.55973038993066959</c:v>
                </c:pt>
                <c:pt idx="96">
                  <c:v>0.58497430971926656</c:v>
                </c:pt>
                <c:pt idx="97">
                  <c:v>0.61066146545802547</c:v>
                </c:pt>
                <c:pt idx="98">
                  <c:v>0.63675161187816154</c:v>
                </c:pt>
                <c:pt idx="99">
                  <c:v>0.66320135654333767</c:v>
                </c:pt>
                <c:pt idx="100">
                  <c:v>0.68996422696233806</c:v>
                </c:pt>
                <c:pt idx="101">
                  <c:v>0.71699075839972204</c:v>
                </c:pt>
                <c:pt idx="102">
                  <c:v>0.74422860263258395</c:v>
                </c:pt>
                <c:pt idx="103">
                  <c:v>0.77162265774173389</c:v>
                </c:pt>
                <c:pt idx="104">
                  <c:v>0.79911521885849135</c:v>
                </c:pt>
                <c:pt idx="105">
                  <c:v>0.82664614961537752</c:v>
                </c:pt>
                <c:pt idx="106">
                  <c:v>0.85415307387185191</c:v>
                </c:pt>
                <c:pt idx="107">
                  <c:v>0.8815715871065577</c:v>
                </c:pt>
                <c:pt idx="108">
                  <c:v>0.90883548668704273</c:v>
                </c:pt>
                <c:pt idx="109">
                  <c:v>0.93587702004860085</c:v>
                </c:pt>
                <c:pt idx="110">
                  <c:v>0.96262714963742668</c:v>
                </c:pt>
                <c:pt idx="111">
                  <c:v>0.98901583330182918</c:v>
                </c:pt>
                <c:pt idx="112">
                  <c:v>1.0149723186506077</c:v>
                </c:pt>
                <c:pt idx="113">
                  <c:v>1.0404254497418097</c:v>
                </c:pt>
                <c:pt idx="114">
                  <c:v>1.0653039843198582</c:v>
                </c:pt>
                <c:pt idx="115">
                  <c:v>1.0895369196862408</c:v>
                </c:pt>
                <c:pt idx="116">
                  <c:v>1.1130538251703137</c:v>
                </c:pt>
                <c:pt idx="117">
                  <c:v>1.1357851790638174</c:v>
                </c:pt>
                <c:pt idx="118">
                  <c:v>1.1576627077970463</c:v>
                </c:pt>
                <c:pt idx="119">
                  <c:v>1.1786197250672916</c:v>
                </c:pt>
                <c:pt idx="120">
                  <c:v>1.1985914685825652</c:v>
                </c:pt>
                <c:pt idx="121">
                  <c:v>1.2175154320564092</c:v>
                </c:pt>
                <c:pt idx="122">
                  <c:v>1.2353316900835607</c:v>
                </c:pt>
                <c:pt idx="123">
                  <c:v>1.2519832135418978</c:v>
                </c:pt>
                <c:pt idx="124">
                  <c:v>1.2674161732034988</c:v>
                </c:pt>
                <c:pt idx="125">
                  <c:v>1.2815802292969714</c:v>
                </c:pt>
                <c:pt idx="126">
                  <c:v>1.2944288048439749</c:v>
                </c:pt>
                <c:pt idx="127">
                  <c:v>1.3059193406947101</c:v>
                </c:pt>
                <c:pt idx="128">
                  <c:v>1.3160135303091816</c:v>
                </c:pt>
                <c:pt idx="129">
                  <c:v>1.3246775324723068</c:v>
                </c:pt>
                <c:pt idx="130">
                  <c:v>1.3318821602901787</c:v>
                </c:pt>
                <c:pt idx="131">
                  <c:v>1.3376030449905079</c:v>
                </c:pt>
                <c:pt idx="132">
                  <c:v>1.3418207732408365</c:v>
                </c:pt>
                <c:pt idx="133">
                  <c:v>1.3445209969016598</c:v>
                </c:pt>
                <c:pt idx="134">
                  <c:v>1.3456945143461119</c:v>
                </c:pt>
                <c:pt idx="135">
                  <c:v>1.3453373227012084</c:v>
                </c:pt>
                <c:pt idx="136">
                  <c:v>1.3434506405955866</c:v>
                </c:pt>
                <c:pt idx="137">
                  <c:v>1.3400409012328165</c:v>
                </c:pt>
                <c:pt idx="138">
                  <c:v>1.3351197158453898</c:v>
                </c:pt>
                <c:pt idx="139">
                  <c:v>1.3287038078199322</c:v>
                </c:pt>
                <c:pt idx="140">
                  <c:v>1.3208149180166653</c:v>
                </c:pt>
                <c:pt idx="141">
                  <c:v>1.3114796820332812</c:v>
                </c:pt>
                <c:pt idx="142">
                  <c:v>1.3007294803829101</c:v>
                </c:pt>
                <c:pt idx="143">
                  <c:v>1.2886002627655004</c:v>
                </c:pt>
                <c:pt idx="144">
                  <c:v>1.2751323478096701</c:v>
                </c:pt>
                <c:pt idx="145">
                  <c:v>1.2603701998459484</c:v>
                </c:pt>
                <c:pt idx="146">
                  <c:v>1.2443621844405344</c:v>
                </c:pt>
                <c:pt idx="147">
                  <c:v>1.2271603045697455</c:v>
                </c:pt>
                <c:pt idx="148">
                  <c:v>1.2088199194477323</c:v>
                </c:pt>
                <c:pt idx="149">
                  <c:v>1.1893994481327932</c:v>
                </c:pt>
                <c:pt idx="150">
                  <c:v>1.1689600601296868</c:v>
                </c:pt>
                <c:pt idx="151">
                  <c:v>1.1475653552761846</c:v>
                </c:pt>
                <c:pt idx="152">
                  <c:v>1.1252810352512033</c:v>
                </c:pt>
                <c:pt idx="153">
                  <c:v>1.1021745690690925</c:v>
                </c:pt>
                <c:pt idx="154">
                  <c:v>1.0783148549301891</c:v>
                </c:pt>
                <c:pt idx="155">
                  <c:v>1.0537718807817049</c:v>
                </c:pt>
                <c:pt idx="156">
                  <c:v>1.0286163859062625</c:v>
                </c:pt>
                <c:pt idx="157">
                  <c:v>1.0029195257983778</c:v>
                </c:pt>
                <c:pt idx="158">
                  <c:v>0.97675254251324861</c:v>
                </c:pt>
                <c:pt idx="159">
                  <c:v>0.95018644257823892</c:v>
                </c:pt>
                <c:pt idx="160">
                  <c:v>0.92329168444701892</c:v>
                </c:pt>
                <c:pt idx="161">
                  <c:v>0.89613787735088635</c:v>
                </c:pt>
                <c:pt idx="162">
                  <c:v>0.86879349326292776</c:v>
                </c:pt>
                <c:pt idx="163">
                  <c:v>0.84132559354030068</c:v>
                </c:pt>
                <c:pt idx="164">
                  <c:v>0.81379957164967176</c:v>
                </c:pt>
                <c:pt idx="165">
                  <c:v>0.78627891321281418</c:v>
                </c:pt>
                <c:pt idx="166">
                  <c:v>0.75882497443533392</c:v>
                </c:pt>
                <c:pt idx="167">
                  <c:v>0.73149677980344741</c:v>
                </c:pt>
                <c:pt idx="168">
                  <c:v>0.70435083975367474</c:v>
                </c:pt>
                <c:pt idx="169">
                  <c:v>0.67744098883990522</c:v>
                </c:pt>
                <c:pt idx="170">
                  <c:v>0.65081824474365713</c:v>
                </c:pt>
                <c:pt idx="171">
                  <c:v>0.62453068829789826</c:v>
                </c:pt>
                <c:pt idx="172">
                  <c:v>0.59862336452448395</c:v>
                </c:pt>
                <c:pt idx="173">
                  <c:v>0.57313820452131037</c:v>
                </c:pt>
                <c:pt idx="174">
                  <c:v>0.54811396787934841</c:v>
                </c:pt>
                <c:pt idx="175">
                  <c:v>0.52358620516285259</c:v>
                </c:pt>
                <c:pt idx="176">
                  <c:v>0.49958723984942038</c:v>
                </c:pt>
                <c:pt idx="177">
                  <c:v>0.47614616900119433</c:v>
                </c:pt>
                <c:pt idx="178">
                  <c:v>0.45328888182496208</c:v>
                </c:pt>
                <c:pt idx="179">
                  <c:v>0.43103809517804792</c:v>
                </c:pt>
                <c:pt idx="180">
                  <c:v>0.40941340498890505</c:v>
                </c:pt>
                <c:pt idx="181">
                  <c:v>0.38843135248671934</c:v>
                </c:pt>
                <c:pt idx="182">
                  <c:v>0.36810550407302922</c:v>
                </c:pt>
                <c:pt idx="183">
                  <c:v>0.34844654362045896</c:v>
                </c:pt>
                <c:pt idx="184">
                  <c:v>0.3294623759489328</c:v>
                </c:pt>
                <c:pt idx="185">
                  <c:v>0.31115824020778776</c:v>
                </c:pt>
                <c:pt idx="186">
                  <c:v>0.29353683188273622</c:v>
                </c:pt>
                <c:pt idx="187">
                  <c:v>0.27659843214891383</c:v>
                </c:pt>
                <c:pt idx="188">
                  <c:v>0.26034104330478608</c:v>
                </c:pt>
                <c:pt idx="189">
                  <c:v>0.2447605290455937</c:v>
                </c:pt>
                <c:pt idx="190">
                  <c:v>0.22985075836855282</c:v>
                </c:pt>
                <c:pt idx="191">
                  <c:v>0.21560375194430359</c:v>
                </c:pt>
                <c:pt idx="192">
                  <c:v>0.20200982983912588</c:v>
                </c:pt>
                <c:pt idx="193">
                  <c:v>0.18905775952936688</c:v>
                </c:pt>
                <c:pt idx="194">
                  <c:v>0.17673490321224694</c:v>
                </c:pt>
                <c:pt idx="195">
                  <c:v>0.16502736348488067</c:v>
                </c:pt>
                <c:pt idx="196">
                  <c:v>0.15392012653485659</c:v>
                </c:pt>
                <c:pt idx="197">
                  <c:v>0.14339720206024037</c:v>
                </c:pt>
                <c:pt idx="198">
                  <c:v>0.13344175921336227</c:v>
                </c:pt>
                <c:pt idx="199">
                  <c:v>0.12403625794039837</c:v>
                </c:pt>
                <c:pt idx="200">
                  <c:v>0.1151625751667076</c:v>
                </c:pt>
                <c:pt idx="201">
                  <c:v>0.10680212535530563</c:v>
                </c:pt>
                <c:pt idx="202">
                  <c:v>9.8935975042091617E-2</c:v>
                </c:pt>
                <c:pt idx="203">
                  <c:v>9.154495102574628E-2</c:v>
                </c:pt>
                <c:pt idx="204">
                  <c:v>8.4609741962054605E-2</c:v>
                </c:pt>
                <c:pt idx="205">
                  <c:v>7.8110993181212798E-2</c:v>
                </c:pt>
                <c:pt idx="206">
                  <c:v>7.2029394612012104E-2</c:v>
                </c:pt>
                <c:pt idx="207">
                  <c:v>6.6345761758258445E-2</c:v>
                </c:pt>
                <c:pt idx="208">
                  <c:v>6.104110973007898E-2</c:v>
                </c:pt>
                <c:pt idx="209">
                  <c:v>5.6096720385648953E-2</c:v>
                </c:pt>
                <c:pt idx="210">
                  <c:v>5.1494202687133082E-2</c:v>
                </c:pt>
                <c:pt idx="211">
                  <c:v>4.7215546418211546E-2</c:v>
                </c:pt>
                <c:pt idx="212">
                  <c:v>4.3243169449348445E-2</c:v>
                </c:pt>
                <c:pt idx="213">
                  <c:v>3.9559958770998105E-2</c:v>
                </c:pt>
                <c:pt idx="214">
                  <c:v>3.6149305544270594E-2</c:v>
                </c:pt>
                <c:pt idx="215">
                  <c:v>3.2995134443296527E-2</c:v>
                </c:pt>
                <c:pt idx="216">
                  <c:v>3.0081927583783523E-2</c:v>
                </c:pt>
                <c:pt idx="217">
                  <c:v>2.7394743348228758E-2</c:v>
                </c:pt>
                <c:pt idx="218">
                  <c:v>2.4919230430144674E-2</c:v>
                </c:pt>
                <c:pt idx="219">
                  <c:v>2.2641637427715668E-2</c:v>
                </c:pt>
                <c:pt idx="220">
                  <c:v>2.0548818321780803E-2</c:v>
                </c:pt>
                <c:pt idx="221">
                  <c:v>1.8628234174210632E-2</c:v>
                </c:pt>
                <c:pt idx="222">
                  <c:v>1.6867951380898742E-2</c:v>
                </c:pt>
                <c:pt idx="223">
                  <c:v>1.5256636809015766E-2</c:v>
                </c:pt>
                <c:pt idx="224">
                  <c:v>1.3783550141162034E-2</c:v>
                </c:pt>
                <c:pt idx="225">
                  <c:v>1.2438533739912364E-2</c:v>
                </c:pt>
                <c:pt idx="226">
                  <c:v>1.1212000335248025E-2</c:v>
                </c:pt>
                <c:pt idx="227">
                  <c:v>1.00949188248118E-2</c:v>
                </c:pt>
                <c:pt idx="228">
                  <c:v>9.0787984630638571E-3</c:v>
                </c:pt>
                <c:pt idx="229">
                  <c:v>8.1556717005308189E-3</c:v>
                </c:pt>
                <c:pt idx="230">
                  <c:v>7.3180759186598542E-3</c:v>
                </c:pt>
                <c:pt idx="231">
                  <c:v>6.5590342895578743E-3</c:v>
                </c:pt>
                <c:pt idx="232">
                  <c:v>5.8720359733152611E-3</c:v>
                </c:pt>
                <c:pt idx="233">
                  <c:v>5.2510158488885995E-3</c:v>
                </c:pt>
                <c:pt idx="234">
                  <c:v>4.6903339578157907E-3</c:v>
                </c:pt>
                <c:pt idx="235">
                  <c:v>4.1847548235274586E-3</c:v>
                </c:pt>
                <c:pt idx="236">
                  <c:v>3.729426792833473E-3</c:v>
                </c:pt>
                <c:pt idx="237">
                  <c:v>3.3198615304313511E-3</c:v>
                </c:pt>
                <c:pt idx="238">
                  <c:v>2.9519137821022476E-3</c:v>
                </c:pt>
                <c:pt idx="239">
                  <c:v>2.6217615077230791E-3</c:v>
                </c:pt>
                <c:pt idx="240">
                  <c:v>2.3258864713977768E-3</c:v>
                </c:pt>
                <c:pt idx="241">
                  <c:v>2.0610553629527217E-3</c:v>
                </c:pt>
                <c:pt idx="242">
                  <c:v>1.8243015127945494E-3</c:v>
                </c:pt>
                <c:pt idx="243">
                  <c:v>1.6129072507170682E-3</c:v>
                </c:pt>
                <c:pt idx="244">
                  <c:v>1.4243869486878149E-3</c:v>
                </c:pt>
                <c:pt idx="245">
                  <c:v>1.2564707779460717E-3</c:v>
                </c:pt>
                <c:pt idx="246">
                  <c:v>1.1070892018993216E-3</c:v>
                </c:pt>
                <c:pt idx="247">
                  <c:v>9.7435821830124745E-4</c:v>
                </c:pt>
                <c:pt idx="248">
                  <c:v>8.5656535700927804E-4</c:v>
                </c:pt>
                <c:pt idx="249">
                  <c:v>7.5215643322790627E-4</c:v>
                </c:pt>
                <c:pt idx="250">
                  <c:v>6.5972305051210977E-4</c:v>
                </c:pt>
                <c:pt idx="251">
                  <c:v>5.7799084289679047E-4</c:v>
                </c:pt>
                <c:pt idx="252">
                  <c:v>5.058084412938044E-4</c:v>
                </c:pt>
                <c:pt idx="253">
                  <c:v>4.4213714571446052E-4</c:v>
                </c:pt>
                <c:pt idx="254">
                  <c:v>3.8604128188929581E-4</c:v>
                </c:pt>
                <c:pt idx="255">
                  <c:v>3.3667921842277861E-4</c:v>
                </c:pt>
                <c:pt idx="256">
                  <c:v>2.9329501869320877E-4</c:v>
                </c:pt>
                <c:pt idx="257">
                  <c:v>2.5521070024267099E-4</c:v>
                </c:pt>
                <c:pt idx="258">
                  <c:v>2.2181907335369738E-4</c:v>
                </c:pt>
                <c:pt idx="259">
                  <c:v>1.9257712983555275E-4</c:v>
                </c:pt>
                <c:pt idx="260">
                  <c:v>1.6699995270220085E-4</c:v>
                </c:pt>
                <c:pt idx="261">
                  <c:v>1.4465511737591708E-4</c:v>
                </c:pt>
                <c:pt idx="262">
                  <c:v>1.251575552579564E-4</c:v>
                </c:pt>
                <c:pt idx="263">
                  <c:v>1.0816485093483959E-4</c:v>
                </c:pt>
                <c:pt idx="264">
                  <c:v>9.3372944902678494E-5</c:v>
                </c:pt>
                <c:pt idx="265">
                  <c:v>8.0512214461853771E-5</c:v>
                </c:pt>
                <c:pt idx="266">
                  <c:v>6.9343906331879884E-5</c:v>
                </c:pt>
                <c:pt idx="267">
                  <c:v>5.9656895535796655E-5</c:v>
                </c:pt>
                <c:pt idx="268">
                  <c:v>5.126474618143793E-5</c:v>
                </c:pt>
                <c:pt idx="269">
                  <c:v>4.4003050902437618E-5</c:v>
                </c:pt>
                <c:pt idx="270">
                  <c:v>3.7727026896176841E-5</c:v>
                </c:pt>
                <c:pt idx="271">
                  <c:v>3.2309347692402137E-5</c:v>
                </c:pt>
                <c:pt idx="272">
                  <c:v>2.7638190990590675E-5</c:v>
                </c:pt>
                <c:pt idx="273">
                  <c:v>2.3615484103720127E-5</c:v>
                </c:pt>
                <c:pt idx="274">
                  <c:v>2.0155329730233673E-5</c:v>
                </c:pt>
                <c:pt idx="275">
                  <c:v>1.7182595935699333E-5</c:v>
                </c:pt>
                <c:pt idx="276">
                  <c:v>1.4631655353430029E-5</c:v>
                </c:pt>
                <c:pt idx="277">
                  <c:v>1.2445259703167922E-5</c:v>
                </c:pt>
                <c:pt idx="278">
                  <c:v>1.057353677403509E-5</c:v>
                </c:pt>
                <c:pt idx="279">
                  <c:v>8.9730980187092079E-6</c:v>
                </c:pt>
                <c:pt idx="280">
                  <c:v>7.6062458575965347E-6</c:v>
                </c:pt>
                <c:pt idx="281">
                  <c:v>6.440270692931754E-6</c:v>
                </c:pt>
                <c:pt idx="282">
                  <c:v>5.4468284823305909E-6</c:v>
                </c:pt>
                <c:pt idx="283">
                  <c:v>4.6013905191153495E-6</c:v>
                </c:pt>
                <c:pt idx="284">
                  <c:v>3.882757813057221E-6</c:v>
                </c:pt>
                <c:pt idx="285">
                  <c:v>3.272633160872124E-6</c:v>
                </c:pt>
                <c:pt idx="286">
                  <c:v>2.7552446420901097E-6</c:v>
                </c:pt>
                <c:pt idx="287">
                  <c:v>2.3170148743522729E-6</c:v>
                </c:pt>
                <c:pt idx="288">
                  <c:v>1.9462709145914755E-6</c:v>
                </c:pt>
                <c:pt idx="289">
                  <c:v>1.63299020093235E-6</c:v>
                </c:pt>
                <c:pt idx="290">
                  <c:v>1.3685783966644098E-6</c:v>
                </c:pt>
                <c:pt idx="291">
                  <c:v>1.1456754245485899E-6</c:v>
                </c:pt>
                <c:pt idx="292">
                  <c:v>9.5798636932141171E-7</c:v>
                </c:pt>
                <c:pt idx="293">
                  <c:v>8.0013428089100922E-7</c:v>
                </c:pt>
                <c:pt idx="294">
                  <c:v>6.67532232690866E-7</c:v>
                </c:pt>
                <c:pt idx="295">
                  <c:v>5.5627228125502246E-7</c:v>
                </c:pt>
                <c:pt idx="296">
                  <c:v>4.6302923652983485E-7</c:v>
                </c:pt>
                <c:pt idx="297">
                  <c:v>3.8497738989549414E-7</c:v>
                </c:pt>
                <c:pt idx="298">
                  <c:v>3.1971856040967804E-7</c:v>
                </c:pt>
                <c:pt idx="299">
                  <c:v>2.6522001137872969E-7</c:v>
                </c:pt>
                <c:pt idx="300">
                  <c:v>2.1976096088623331E-7</c:v>
                </c:pt>
                <c:pt idx="301">
                  <c:v>1.8188656313276278E-7</c:v>
                </c:pt>
                <c:pt idx="302">
                  <c:v>1.503683740253739E-7</c:v>
                </c:pt>
                <c:pt idx="303">
                  <c:v>1.2417043595347139E-7</c:v>
                </c:pt>
                <c:pt idx="304">
                  <c:v>1.0242022454273625E-7</c:v>
                </c:pt>
                <c:pt idx="305">
                  <c:v>8.4383795729313679E-8</c:v>
                </c:pt>
                <c:pt idx="306">
                  <c:v>6.9444555977288732E-8</c:v>
                </c:pt>
                <c:pt idx="307">
                  <c:v>5.7085153009154617E-8</c:v>
                </c:pt>
                <c:pt idx="308">
                  <c:v>4.6872050072378251E-8</c:v>
                </c:pt>
                <c:pt idx="309">
                  <c:v>3.8442404475537939E-8</c:v>
                </c:pt>
                <c:pt idx="310">
                  <c:v>3.1492921760058149E-8</c:v>
                </c:pt>
                <c:pt idx="311">
                  <c:v>2.5770401213559192E-8</c:v>
                </c:pt>
                <c:pt idx="312">
                  <c:v>2.1063727188617129E-8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542960"/>
        <c:axId val="246543352"/>
        <c:axId val="245281304"/>
      </c:area3DChart>
      <c:catAx>
        <c:axId val="246542960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Data</a:t>
                </a:r>
              </a:p>
            </c:rich>
          </c:tx>
          <c:layout>
            <c:manualLayout>
              <c:xMode val="edge"/>
              <c:yMode val="edge"/>
              <c:x val="0.45624999999999999"/>
              <c:y val="0.77203647416413379"/>
            </c:manualLayout>
          </c:layout>
          <c:overlay val="0"/>
          <c:spPr>
            <a:noFill/>
            <a:ln w="25400">
              <a:noFill/>
            </a:ln>
          </c:spPr>
        </c:title>
        <c:numFmt formatCode="0.00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en-US"/>
          </a:p>
        </c:txPr>
        <c:crossAx val="246543352"/>
        <c:crosses val="autoZero"/>
        <c:auto val="0"/>
        <c:lblAlgn val="ctr"/>
        <c:lblOffset val="100"/>
        <c:tickLblSkip val="12"/>
        <c:tickMarkSkip val="12"/>
        <c:noMultiLvlLbl val="0"/>
      </c:catAx>
      <c:valAx>
        <c:axId val="246543352"/>
        <c:scaling>
          <c:orientation val="minMax"/>
        </c:scaling>
        <c:delete val="1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Frequency (%)</a:t>
                </a:r>
              </a:p>
            </c:rich>
          </c:tx>
          <c:layout>
            <c:manualLayout>
              <c:xMode val="edge"/>
              <c:yMode val="edge"/>
              <c:x val="1.5625E-2"/>
              <c:y val="0.29179331306990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one"/>
        <c:crossAx val="246542960"/>
        <c:crosses val="autoZero"/>
        <c:crossBetween val="between"/>
      </c:valAx>
      <c:serAx>
        <c:axId val="245281304"/>
        <c:scaling>
          <c:orientation val="minMax"/>
        </c:scaling>
        <c:delete val="0"/>
        <c:axPos val="b"/>
        <c:majorTickMark val="out"/>
        <c:minorTickMark val="none"/>
        <c:tickLblPos val="none"/>
        <c:spPr>
          <a:ln w="3175">
            <a:solidFill>
              <a:srgbClr val="000000"/>
            </a:solidFill>
            <a:prstDash val="solid"/>
          </a:ln>
        </c:spPr>
        <c:crossAx val="246543352"/>
        <c:crosses val="autoZero"/>
        <c:tickMarkSkip val="1"/>
      </c:ser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3124999999999999E-2"/>
          <c:y val="3.3434650455927049E-2"/>
          <c:w val="0.89687499999999998"/>
          <c:h val="4.863221884498480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0" i="0" u="none" strike="noStrike" baseline="0">
              <a:solidFill>
                <a:srgbClr val="000000"/>
              </a:solidFill>
              <a:latin typeface="Small Fonts"/>
              <a:ea typeface="Small Fonts"/>
              <a:cs typeface="Small Font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Histogram</a:t>
            </a:r>
          </a:p>
        </c:rich>
      </c:tx>
      <c:layout>
        <c:manualLayout>
          <c:xMode val="edge"/>
          <c:yMode val="edge"/>
          <c:x val="0.40666759988334789"/>
          <c:y val="3.54838709677419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55584973057666"/>
          <c:y val="0.16451638816215372"/>
          <c:w val="0.83333514178633206"/>
          <c:h val="0.7290334063656224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Histogram!$L$2:$L$13</c:f>
              <c:numCache>
                <c:formatCode>General</c:formatCode>
                <c:ptCount val="12"/>
                <c:pt idx="0">
                  <c:v>4.8650000000000002</c:v>
                </c:pt>
                <c:pt idx="1">
                  <c:v>5.2549999999999999</c:v>
                </c:pt>
                <c:pt idx="2">
                  <c:v>5.6449999999999996</c:v>
                </c:pt>
                <c:pt idx="3">
                  <c:v>6.0349999999999993</c:v>
                </c:pt>
                <c:pt idx="4">
                  <c:v>6.4249999999999989</c:v>
                </c:pt>
                <c:pt idx="5">
                  <c:v>6.8149999999999986</c:v>
                </c:pt>
                <c:pt idx="6">
                  <c:v>7.2049999999999983</c:v>
                </c:pt>
                <c:pt idx="7">
                  <c:v>7.594999999999998</c:v>
                </c:pt>
                <c:pt idx="8">
                  <c:v>7.9849999999999977</c:v>
                </c:pt>
                <c:pt idx="9">
                  <c:v>8.3749999999999982</c:v>
                </c:pt>
                <c:pt idx="10">
                  <c:v>8.7649999999999988</c:v>
                </c:pt>
                <c:pt idx="11">
                  <c:v>9.1549999999999994</c:v>
                </c:pt>
              </c:numCache>
            </c:numRef>
          </c:cat>
          <c:val>
            <c:numRef>
              <c:f>Histogram!$N$2:$N$13</c:f>
              <c:numCache>
                <c:formatCode>General</c:formatCode>
                <c:ptCount val="12"/>
                <c:pt idx="0">
                  <c:v>30</c:v>
                </c:pt>
                <c:pt idx="1">
                  <c:v>1</c:v>
                </c:pt>
                <c:pt idx="2">
                  <c:v>14</c:v>
                </c:pt>
                <c:pt idx="3">
                  <c:v>9</c:v>
                </c:pt>
                <c:pt idx="4">
                  <c:v>0</c:v>
                </c:pt>
                <c:pt idx="5">
                  <c:v>21</c:v>
                </c:pt>
                <c:pt idx="6">
                  <c:v>13</c:v>
                </c:pt>
                <c:pt idx="7">
                  <c:v>6</c:v>
                </c:pt>
                <c:pt idx="8">
                  <c:v>22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246544528"/>
        <c:axId val="311856128"/>
      </c:barChart>
      <c:catAx>
        <c:axId val="246544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Small Fonts"/>
                <a:ea typeface="Small Fonts"/>
                <a:cs typeface="Small Fonts"/>
              </a:defRPr>
            </a:pPr>
            <a:endParaRPr lang="en-US"/>
          </a:p>
        </c:txPr>
        <c:crossAx val="311856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11856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Frequency</a:t>
                </a:r>
              </a:p>
            </c:rich>
          </c:tx>
          <c:layout>
            <c:manualLayout>
              <c:xMode val="edge"/>
              <c:yMode val="edge"/>
              <c:x val="3.5555555555555556E-2"/>
              <c:y val="0.4161297095927524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4654452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trlProps/ctrlProp1.xml><?xml version="1.0" encoding="utf-8"?>
<formControlPr xmlns="http://schemas.microsoft.com/office/spreadsheetml/2009/9/main" objectType="CheckBox" fmlaLink="F13" lockText="1" noThreeD="1"/>
</file>

<file path=xl/ctrlProps/ctrlProp10.xml><?xml version="1.0" encoding="utf-8"?>
<formControlPr xmlns="http://schemas.microsoft.com/office/spreadsheetml/2009/9/main" objectType="CheckBox" fmlaLink="L13" lockText="1" noThreeD="1"/>
</file>

<file path=xl/ctrlProps/ctrlProp11.xml><?xml version="1.0" encoding="utf-8"?>
<formControlPr xmlns="http://schemas.microsoft.com/office/spreadsheetml/2009/9/main" objectType="CheckBox" fmlaLink="M13" lockText="1" noThreeD="1"/>
</file>

<file path=xl/ctrlProps/ctrlProp12.xml><?xml version="1.0" encoding="utf-8"?>
<formControlPr xmlns="http://schemas.microsoft.com/office/spreadsheetml/2009/9/main" objectType="CheckBox" fmlaLink="N13" lockText="1" noThreeD="1"/>
</file>

<file path=xl/ctrlProps/ctrlProp13.xml><?xml version="1.0" encoding="utf-8"?>
<formControlPr xmlns="http://schemas.microsoft.com/office/spreadsheetml/2009/9/main" objectType="CheckBox" fmlaLink="O13" lockText="1" noThreeD="1"/>
</file>

<file path=xl/ctrlProps/ctrlProp14.xml><?xml version="1.0" encoding="utf-8"?>
<formControlPr xmlns="http://schemas.microsoft.com/office/spreadsheetml/2009/9/main" objectType="CheckBox" fmlaLink="P13" lockText="1" noThreeD="1"/>
</file>

<file path=xl/ctrlProps/ctrlProp15.xml><?xml version="1.0" encoding="utf-8"?>
<formControlPr xmlns="http://schemas.microsoft.com/office/spreadsheetml/2009/9/main" objectType="CheckBox" fmlaLink="Q13" lockText="1" noThreeD="1"/>
</file>

<file path=xl/ctrlProps/ctrlProp16.xml><?xml version="1.0" encoding="utf-8"?>
<formControlPr xmlns="http://schemas.microsoft.com/office/spreadsheetml/2009/9/main" objectType="CheckBox" fmlaLink="R13" lockText="1" noThreeD="1"/>
</file>

<file path=xl/ctrlProps/ctrlProp17.xml><?xml version="1.0" encoding="utf-8"?>
<formControlPr xmlns="http://schemas.microsoft.com/office/spreadsheetml/2009/9/main" objectType="CheckBox" fmlaLink="S13" lockText="1" noThreeD="1"/>
</file>

<file path=xl/ctrlProps/ctrlProp18.xml><?xml version="1.0" encoding="utf-8"?>
<formControlPr xmlns="http://schemas.microsoft.com/office/spreadsheetml/2009/9/main" objectType="CheckBox" fmlaLink="T13" lockText="1" noThreeD="1"/>
</file>

<file path=xl/ctrlProps/ctrlProp19.xml><?xml version="1.0" encoding="utf-8"?>
<formControlPr xmlns="http://schemas.microsoft.com/office/spreadsheetml/2009/9/main" objectType="CheckBox" fmlaLink="U13" lockText="1" noThreeD="1"/>
</file>

<file path=xl/ctrlProps/ctrlProp2.xml><?xml version="1.0" encoding="utf-8"?>
<formControlPr xmlns="http://schemas.microsoft.com/office/spreadsheetml/2009/9/main" objectType="CheckBox" fmlaLink="E13" lockText="1" noThreeD="1"/>
</file>

<file path=xl/ctrlProps/ctrlProp20.xml><?xml version="1.0" encoding="utf-8"?>
<formControlPr xmlns="http://schemas.microsoft.com/office/spreadsheetml/2009/9/main" objectType="CheckBox" fmlaLink="V13" lockText="1" noThreeD="1"/>
</file>

<file path=xl/ctrlProps/ctrlProp21.xml><?xml version="1.0" encoding="utf-8"?>
<formControlPr xmlns="http://schemas.microsoft.com/office/spreadsheetml/2009/9/main" objectType="CheckBox" fmlaLink="W13" lockText="1" noThreeD="1"/>
</file>

<file path=xl/ctrlProps/ctrlProp22.xml><?xml version="1.0" encoding="utf-8"?>
<formControlPr xmlns="http://schemas.microsoft.com/office/spreadsheetml/2009/9/main" objectType="CheckBox" fmlaLink="X13" lockText="1" noThreeD="1"/>
</file>

<file path=xl/ctrlProps/ctrlProp23.xml><?xml version="1.0" encoding="utf-8"?>
<formControlPr xmlns="http://schemas.microsoft.com/office/spreadsheetml/2009/9/main" objectType="CheckBox" fmlaLink="Y13" lockText="1" noThreeD="1"/>
</file>

<file path=xl/ctrlProps/ctrlProp24.xml><?xml version="1.0" encoding="utf-8"?>
<formControlPr xmlns="http://schemas.microsoft.com/office/spreadsheetml/2009/9/main" objectType="CheckBox" fmlaLink="Z13" lockText="1" noThreeD="1"/>
</file>

<file path=xl/ctrlProps/ctrlProp25.xml><?xml version="1.0" encoding="utf-8"?>
<formControlPr xmlns="http://schemas.microsoft.com/office/spreadsheetml/2009/9/main" objectType="CheckBox" fmlaLink="AA13" lockText="1" noThreeD="1"/>
</file>

<file path=xl/ctrlProps/ctrlProp26.xml><?xml version="1.0" encoding="utf-8"?>
<formControlPr xmlns="http://schemas.microsoft.com/office/spreadsheetml/2009/9/main" objectType="CheckBox" checked="Checked" fmlaLink="A3" lockText="1" noThreeD="1"/>
</file>

<file path=xl/ctrlProps/ctrlProp27.xml><?xml version="1.0" encoding="utf-8"?>
<formControlPr xmlns="http://schemas.microsoft.com/office/spreadsheetml/2009/9/main" objectType="CheckBox" checked="Checked" fmlaLink="A4" lockText="1" noThreeD="1"/>
</file>

<file path=xl/ctrlProps/ctrlProp28.xml><?xml version="1.0" encoding="utf-8"?>
<formControlPr xmlns="http://schemas.microsoft.com/office/spreadsheetml/2009/9/main" objectType="CheckBox" checked="Checked" fmlaLink="A5" lockText="1" noThreeD="1"/>
</file>

<file path=xl/ctrlProps/ctrlProp29.xml><?xml version="1.0" encoding="utf-8"?>
<formControlPr xmlns="http://schemas.microsoft.com/office/spreadsheetml/2009/9/main" objectType="CheckBox" checked="Checked" fmlaLink="A6" lockText="1" noThreeD="1"/>
</file>

<file path=xl/ctrlProps/ctrlProp3.xml><?xml version="1.0" encoding="utf-8"?>
<formControlPr xmlns="http://schemas.microsoft.com/office/spreadsheetml/2009/9/main" objectType="CheckBox" fmlaLink="D13" lockText="1" noThreeD="1"/>
</file>

<file path=xl/ctrlProps/ctrlProp30.xml><?xml version="1.0" encoding="utf-8"?>
<formControlPr xmlns="http://schemas.microsoft.com/office/spreadsheetml/2009/9/main" objectType="CheckBox" checked="Checked" fmlaLink="A7" lockText="1" noThreeD="1"/>
</file>

<file path=xl/ctrlProps/ctrlProp4.xml><?xml version="1.0" encoding="utf-8"?>
<formControlPr xmlns="http://schemas.microsoft.com/office/spreadsheetml/2009/9/main" objectType="CheckBox" fmlaLink="C13" lockText="1" noThreeD="1"/>
</file>

<file path=xl/ctrlProps/ctrlProp5.xml><?xml version="1.0" encoding="utf-8"?>
<formControlPr xmlns="http://schemas.microsoft.com/office/spreadsheetml/2009/9/main" objectType="CheckBox" fmlaLink="G13" lockText="1" noThreeD="1"/>
</file>

<file path=xl/ctrlProps/ctrlProp6.xml><?xml version="1.0" encoding="utf-8"?>
<formControlPr xmlns="http://schemas.microsoft.com/office/spreadsheetml/2009/9/main" objectType="CheckBox" checked="Checked" fmlaLink="H13" lockText="1" noThreeD="1"/>
</file>

<file path=xl/ctrlProps/ctrlProp7.xml><?xml version="1.0" encoding="utf-8"?>
<formControlPr xmlns="http://schemas.microsoft.com/office/spreadsheetml/2009/9/main" objectType="CheckBox" fmlaLink="I13" lockText="1" noThreeD="1"/>
</file>

<file path=xl/ctrlProps/ctrlProp8.xml><?xml version="1.0" encoding="utf-8"?>
<formControlPr xmlns="http://schemas.microsoft.com/office/spreadsheetml/2009/9/main" objectType="CheckBox" fmlaLink="J13" lockText="1" noThreeD="1"/>
</file>

<file path=xl/ctrlProps/ctrlProp9.xml><?xml version="1.0" encoding="utf-8"?>
<formControlPr xmlns="http://schemas.microsoft.com/office/spreadsheetml/2009/9/main" objectType="CheckBox" fmlaLink="K13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33</xdr:row>
      <xdr:rowOff>114300</xdr:rowOff>
    </xdr:from>
    <xdr:to>
      <xdr:col>27</xdr:col>
      <xdr:colOff>0</xdr:colOff>
      <xdr:row>53</xdr:row>
      <xdr:rowOff>38100</xdr:rowOff>
    </xdr:to>
    <xdr:graphicFrame macro="">
      <xdr:nvGraphicFramePr>
        <xdr:cNvPr id="110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495299</xdr:colOff>
      <xdr:row>49</xdr:row>
      <xdr:rowOff>66675</xdr:rowOff>
    </xdr:from>
    <xdr:to>
      <xdr:col>26</xdr:col>
      <xdr:colOff>438149</xdr:colOff>
      <xdr:row>59</xdr:row>
      <xdr:rowOff>76200</xdr:rowOff>
    </xdr:to>
    <xdr:graphicFrame macro="">
      <xdr:nvGraphicFramePr>
        <xdr:cNvPr id="110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12</xdr:row>
          <xdr:rowOff>0</xdr:rowOff>
        </xdr:from>
        <xdr:to>
          <xdr:col>5</xdr:col>
          <xdr:colOff>457200</xdr:colOff>
          <xdr:row>14</xdr:row>
          <xdr:rowOff>9525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152400</xdr:colOff>
          <xdr:row>12</xdr:row>
          <xdr:rowOff>0</xdr:rowOff>
        </xdr:from>
        <xdr:to>
          <xdr:col>4</xdr:col>
          <xdr:colOff>457200</xdr:colOff>
          <xdr:row>14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12</xdr:row>
          <xdr:rowOff>0</xdr:rowOff>
        </xdr:from>
        <xdr:to>
          <xdr:col>3</xdr:col>
          <xdr:colOff>457200</xdr:colOff>
          <xdr:row>14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12</xdr:row>
          <xdr:rowOff>0</xdr:rowOff>
        </xdr:from>
        <xdr:to>
          <xdr:col>2</xdr:col>
          <xdr:colOff>495300</xdr:colOff>
          <xdr:row>14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12</xdr:row>
          <xdr:rowOff>0</xdr:rowOff>
        </xdr:from>
        <xdr:to>
          <xdr:col>6</xdr:col>
          <xdr:colOff>485775</xdr:colOff>
          <xdr:row>14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152400</xdr:colOff>
          <xdr:row>12</xdr:row>
          <xdr:rowOff>0</xdr:rowOff>
        </xdr:from>
        <xdr:to>
          <xdr:col>7</xdr:col>
          <xdr:colOff>457200</xdr:colOff>
          <xdr:row>14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152400</xdr:colOff>
          <xdr:row>12</xdr:row>
          <xdr:rowOff>0</xdr:rowOff>
        </xdr:from>
        <xdr:to>
          <xdr:col>8</xdr:col>
          <xdr:colOff>457200</xdr:colOff>
          <xdr:row>14</xdr:row>
          <xdr:rowOff>9525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12</xdr:row>
          <xdr:rowOff>0</xdr:rowOff>
        </xdr:from>
        <xdr:to>
          <xdr:col>9</xdr:col>
          <xdr:colOff>447675</xdr:colOff>
          <xdr:row>14</xdr:row>
          <xdr:rowOff>9525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142875</xdr:colOff>
          <xdr:row>12</xdr:row>
          <xdr:rowOff>0</xdr:rowOff>
        </xdr:from>
        <xdr:to>
          <xdr:col>10</xdr:col>
          <xdr:colOff>447675</xdr:colOff>
          <xdr:row>14</xdr:row>
          <xdr:rowOff>9525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12</xdr:row>
          <xdr:rowOff>0</xdr:rowOff>
        </xdr:from>
        <xdr:to>
          <xdr:col>11</xdr:col>
          <xdr:colOff>457200</xdr:colOff>
          <xdr:row>14</xdr:row>
          <xdr:rowOff>9525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142875</xdr:colOff>
          <xdr:row>12</xdr:row>
          <xdr:rowOff>0</xdr:rowOff>
        </xdr:from>
        <xdr:to>
          <xdr:col>12</xdr:col>
          <xdr:colOff>447675</xdr:colOff>
          <xdr:row>14</xdr:row>
          <xdr:rowOff>9525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142875</xdr:colOff>
          <xdr:row>12</xdr:row>
          <xdr:rowOff>0</xdr:rowOff>
        </xdr:from>
        <xdr:to>
          <xdr:col>13</xdr:col>
          <xdr:colOff>447675</xdr:colOff>
          <xdr:row>14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152400</xdr:colOff>
          <xdr:row>12</xdr:row>
          <xdr:rowOff>0</xdr:rowOff>
        </xdr:from>
        <xdr:to>
          <xdr:col>14</xdr:col>
          <xdr:colOff>457200</xdr:colOff>
          <xdr:row>14</xdr:row>
          <xdr:rowOff>9525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142875</xdr:colOff>
          <xdr:row>12</xdr:row>
          <xdr:rowOff>0</xdr:rowOff>
        </xdr:from>
        <xdr:to>
          <xdr:col>15</xdr:col>
          <xdr:colOff>447675</xdr:colOff>
          <xdr:row>14</xdr:row>
          <xdr:rowOff>9525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161925</xdr:colOff>
          <xdr:row>12</xdr:row>
          <xdr:rowOff>0</xdr:rowOff>
        </xdr:from>
        <xdr:to>
          <xdr:col>16</xdr:col>
          <xdr:colOff>466725</xdr:colOff>
          <xdr:row>14</xdr:row>
          <xdr:rowOff>9525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12</xdr:row>
          <xdr:rowOff>0</xdr:rowOff>
        </xdr:from>
        <xdr:to>
          <xdr:col>17</xdr:col>
          <xdr:colOff>457200</xdr:colOff>
          <xdr:row>14</xdr:row>
          <xdr:rowOff>9525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142875</xdr:colOff>
          <xdr:row>12</xdr:row>
          <xdr:rowOff>0</xdr:rowOff>
        </xdr:from>
        <xdr:to>
          <xdr:col>18</xdr:col>
          <xdr:colOff>447675</xdr:colOff>
          <xdr:row>14</xdr:row>
          <xdr:rowOff>9525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142875</xdr:colOff>
          <xdr:row>12</xdr:row>
          <xdr:rowOff>0</xdr:rowOff>
        </xdr:from>
        <xdr:to>
          <xdr:col>19</xdr:col>
          <xdr:colOff>447675</xdr:colOff>
          <xdr:row>14</xdr:row>
          <xdr:rowOff>9525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152400</xdr:colOff>
          <xdr:row>12</xdr:row>
          <xdr:rowOff>0</xdr:rowOff>
        </xdr:from>
        <xdr:to>
          <xdr:col>20</xdr:col>
          <xdr:colOff>457200</xdr:colOff>
          <xdr:row>14</xdr:row>
          <xdr:rowOff>9525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142875</xdr:colOff>
          <xdr:row>12</xdr:row>
          <xdr:rowOff>0</xdr:rowOff>
        </xdr:from>
        <xdr:to>
          <xdr:col>21</xdr:col>
          <xdr:colOff>447675</xdr:colOff>
          <xdr:row>14</xdr:row>
          <xdr:rowOff>9525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152400</xdr:colOff>
          <xdr:row>12</xdr:row>
          <xdr:rowOff>0</xdr:rowOff>
        </xdr:from>
        <xdr:to>
          <xdr:col>22</xdr:col>
          <xdr:colOff>457200</xdr:colOff>
          <xdr:row>14</xdr:row>
          <xdr:rowOff>9525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152400</xdr:colOff>
          <xdr:row>12</xdr:row>
          <xdr:rowOff>0</xdr:rowOff>
        </xdr:from>
        <xdr:to>
          <xdr:col>23</xdr:col>
          <xdr:colOff>457200</xdr:colOff>
          <xdr:row>14</xdr:row>
          <xdr:rowOff>9525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142875</xdr:colOff>
          <xdr:row>12</xdr:row>
          <xdr:rowOff>0</xdr:rowOff>
        </xdr:from>
        <xdr:to>
          <xdr:col>24</xdr:col>
          <xdr:colOff>447675</xdr:colOff>
          <xdr:row>14</xdr:row>
          <xdr:rowOff>9525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142875</xdr:colOff>
          <xdr:row>12</xdr:row>
          <xdr:rowOff>0</xdr:rowOff>
        </xdr:from>
        <xdr:to>
          <xdr:col>25</xdr:col>
          <xdr:colOff>447675</xdr:colOff>
          <xdr:row>14</xdr:row>
          <xdr:rowOff>9525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142875</xdr:colOff>
          <xdr:row>12</xdr:row>
          <xdr:rowOff>0</xdr:rowOff>
        </xdr:from>
        <xdr:to>
          <xdr:col>26</xdr:col>
          <xdr:colOff>447675</xdr:colOff>
          <xdr:row>14</xdr:row>
          <xdr:rowOff>9525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200025</xdr:colOff>
      <xdr:row>1</xdr:row>
      <xdr:rowOff>28575</xdr:rowOff>
    </xdr:from>
    <xdr:to>
      <xdr:col>15</xdr:col>
      <xdr:colOff>247650</xdr:colOff>
      <xdr:row>20</xdr:row>
      <xdr:rowOff>47625</xdr:rowOff>
    </xdr:to>
    <xdr:graphicFrame macro="">
      <xdr:nvGraphicFramePr>
        <xdr:cNvPr id="206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1</xdr:row>
          <xdr:rowOff>142875</xdr:rowOff>
        </xdr:from>
        <xdr:to>
          <xdr:col>0</xdr:col>
          <xdr:colOff>476250</xdr:colOff>
          <xdr:row>3</xdr:row>
          <xdr:rowOff>28575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2</xdr:row>
          <xdr:rowOff>133350</xdr:rowOff>
        </xdr:from>
        <xdr:to>
          <xdr:col>0</xdr:col>
          <xdr:colOff>476250</xdr:colOff>
          <xdr:row>4</xdr:row>
          <xdr:rowOff>28575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3</xdr:row>
          <xdr:rowOff>133350</xdr:rowOff>
        </xdr:from>
        <xdr:to>
          <xdr:col>0</xdr:col>
          <xdr:colOff>476250</xdr:colOff>
          <xdr:row>5</xdr:row>
          <xdr:rowOff>28575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</xdr:row>
          <xdr:rowOff>133350</xdr:rowOff>
        </xdr:from>
        <xdr:to>
          <xdr:col>0</xdr:col>
          <xdr:colOff>476250</xdr:colOff>
          <xdr:row>6</xdr:row>
          <xdr:rowOff>28575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5</xdr:row>
          <xdr:rowOff>133350</xdr:rowOff>
        </xdr:from>
        <xdr:to>
          <xdr:col>0</xdr:col>
          <xdr:colOff>476250</xdr:colOff>
          <xdr:row>7</xdr:row>
          <xdr:rowOff>19050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38100</xdr:rowOff>
    </xdr:from>
    <xdr:to>
      <xdr:col>7</xdr:col>
      <xdr:colOff>66675</xdr:colOff>
      <xdr:row>18</xdr:row>
      <xdr:rowOff>9525</xdr:rowOff>
    </xdr:to>
    <xdr:graphicFrame macro="">
      <xdr:nvGraphicFramePr>
        <xdr:cNvPr id="308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9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28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60"/>
  <sheetViews>
    <sheetView showGridLines="0" tabSelected="1" topLeftCell="A8" workbookViewId="0">
      <selection activeCell="V58" sqref="V58"/>
    </sheetView>
  </sheetViews>
  <sheetFormatPr defaultRowHeight="12.75" x14ac:dyDescent="0.2"/>
  <cols>
    <col min="1" max="1" width="10.140625" customWidth="1"/>
    <col min="2" max="2" width="5.140625" customWidth="1"/>
    <col min="3" max="3" width="8.42578125" customWidth="1"/>
    <col min="4" max="4" width="7.42578125" customWidth="1"/>
    <col min="5" max="5" width="8.140625" customWidth="1"/>
    <col min="6" max="6" width="7.42578125" customWidth="1"/>
    <col min="8" max="27" width="7.42578125" customWidth="1"/>
    <col min="28" max="28" width="7" customWidth="1"/>
  </cols>
  <sheetData>
    <row r="1" spans="1:29" ht="13.5" thickTop="1" x14ac:dyDescent="0.2">
      <c r="A1" s="30"/>
      <c r="B1" s="79"/>
      <c r="C1" s="210" t="s">
        <v>0</v>
      </c>
      <c r="D1" s="211"/>
      <c r="E1" s="77" t="s">
        <v>1</v>
      </c>
      <c r="F1" s="78"/>
      <c r="G1" s="243" t="s">
        <v>46</v>
      </c>
      <c r="H1" s="244"/>
      <c r="I1" s="209">
        <v>5</v>
      </c>
      <c r="J1" s="235">
        <f>+IF(ISBLANK(K3), DecPlaces!G2, K3)</f>
        <v>2</v>
      </c>
      <c r="K1" s="214" t="s">
        <v>81</v>
      </c>
      <c r="L1" s="215"/>
      <c r="M1" s="215"/>
      <c r="N1" s="215"/>
      <c r="O1" s="215"/>
      <c r="P1" s="215"/>
      <c r="Q1" s="215"/>
      <c r="R1" s="7"/>
      <c r="S1" s="82"/>
      <c r="T1" s="82"/>
      <c r="U1" s="216" t="s">
        <v>2</v>
      </c>
      <c r="V1" s="6"/>
      <c r="X1" s="6"/>
      <c r="Y1" s="6"/>
      <c r="Z1" s="217" t="s">
        <v>3</v>
      </c>
      <c r="AA1" s="7"/>
      <c r="AB1" s="8"/>
    </row>
    <row r="2" spans="1:29" ht="15" x14ac:dyDescent="0.2">
      <c r="A2" s="30"/>
      <c r="B2" s="80"/>
      <c r="C2" s="212" t="s">
        <v>4</v>
      </c>
      <c r="D2" s="28"/>
      <c r="E2" s="16" t="s">
        <v>4</v>
      </c>
      <c r="F2" s="73">
        <f>+AB11</f>
        <v>6.4887500000000005</v>
      </c>
      <c r="G2" s="218" t="s">
        <v>5</v>
      </c>
      <c r="H2" s="162" t="s">
        <v>6</v>
      </c>
      <c r="I2" s="15">
        <v>6</v>
      </c>
      <c r="J2" s="219" t="s">
        <v>7</v>
      </c>
      <c r="K2" s="28">
        <v>2</v>
      </c>
      <c r="L2" s="220" t="s">
        <v>99</v>
      </c>
      <c r="M2" s="227"/>
      <c r="N2" s="161"/>
      <c r="O2" s="162"/>
      <c r="P2" s="162"/>
      <c r="Q2" s="7"/>
      <c r="R2" s="8"/>
      <c r="S2" s="30"/>
      <c r="T2" s="7"/>
      <c r="U2" s="7"/>
      <c r="V2" s="7"/>
      <c r="W2" s="7"/>
      <c r="X2" s="75"/>
      <c r="Y2" s="7"/>
      <c r="Z2" s="7"/>
      <c r="AA2" s="7"/>
      <c r="AB2" s="8"/>
    </row>
    <row r="3" spans="1:29" ht="13.5" thickBot="1" x14ac:dyDescent="0.25">
      <c r="A3" s="81"/>
      <c r="B3" s="37"/>
      <c r="C3" s="213" t="s">
        <v>93</v>
      </c>
      <c r="D3" s="29"/>
      <c r="E3" s="17" t="s">
        <v>93</v>
      </c>
      <c r="F3" s="74">
        <f>+AB12</f>
        <v>2.6154166666666669</v>
      </c>
      <c r="G3" s="221" t="s">
        <v>97</v>
      </c>
      <c r="H3" s="225"/>
      <c r="I3" s="222" t="s">
        <v>98</v>
      </c>
      <c r="J3" s="37"/>
      <c r="K3" s="226"/>
      <c r="L3" s="223" t="s">
        <v>8</v>
      </c>
      <c r="M3" s="9"/>
      <c r="N3" s="9"/>
      <c r="O3" s="37"/>
      <c r="P3" s="76"/>
      <c r="Q3" s="224" t="s">
        <v>9</v>
      </c>
      <c r="R3" s="9"/>
      <c r="S3" s="9"/>
      <c r="T3" s="9"/>
      <c r="U3" s="9"/>
      <c r="V3" s="9"/>
      <c r="W3" s="9"/>
      <c r="X3" s="9"/>
      <c r="Y3" s="9"/>
      <c r="Z3" s="9"/>
      <c r="AA3" s="9"/>
      <c r="AB3" s="10"/>
    </row>
    <row r="4" spans="1:29" ht="13.5" thickTop="1" x14ac:dyDescent="0.2">
      <c r="A4" s="24" t="s">
        <v>10</v>
      </c>
      <c r="B4" s="23"/>
      <c r="C4" s="120"/>
      <c r="D4" s="11"/>
      <c r="E4" s="11"/>
      <c r="F4" s="11"/>
      <c r="G4" s="11"/>
      <c r="H4" s="11"/>
      <c r="I4" s="11"/>
      <c r="J4" s="11"/>
      <c r="K4" s="236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2"/>
    </row>
    <row r="5" spans="1:29" ht="13.5" thickBot="1" x14ac:dyDescent="0.25">
      <c r="A5" s="25" t="s">
        <v>11</v>
      </c>
      <c r="B5" s="26"/>
      <c r="C5" s="83">
        <v>0.33333333333333331</v>
      </c>
      <c r="D5" s="83">
        <v>0.34722222222222227</v>
      </c>
      <c r="E5" s="83">
        <v>0.3611111111111111</v>
      </c>
      <c r="F5" s="83">
        <v>0.375</v>
      </c>
      <c r="G5" s="83">
        <v>0.3888888888888889</v>
      </c>
      <c r="H5" s="83">
        <v>0.40277777777777773</v>
      </c>
      <c r="I5" s="83">
        <v>0.41666666666666669</v>
      </c>
      <c r="J5" s="83">
        <v>0.43055555555555558</v>
      </c>
      <c r="K5" s="83">
        <v>0.44444444444444442</v>
      </c>
      <c r="L5" s="83">
        <v>0.45833333333333331</v>
      </c>
      <c r="M5" s="237">
        <v>0.47222222222222227</v>
      </c>
      <c r="N5" s="83">
        <v>0.4861111111111111</v>
      </c>
      <c r="O5" s="83">
        <v>0</v>
      </c>
      <c r="P5" s="83">
        <v>0.51388888888888895</v>
      </c>
      <c r="Q5" s="83">
        <v>0.52777777777777779</v>
      </c>
      <c r="R5" s="83">
        <v>4.1666666666666664E-2</v>
      </c>
      <c r="S5" s="83">
        <v>5.5555555555555552E-2</v>
      </c>
      <c r="T5" s="83">
        <v>6.9444444444444434E-2</v>
      </c>
      <c r="U5" s="83">
        <v>8.3333333333333329E-2</v>
      </c>
      <c r="V5" s="83">
        <v>9.7222222222222224E-2</v>
      </c>
      <c r="W5" s="83">
        <v>0.1111111111111111</v>
      </c>
      <c r="X5" s="83">
        <v>0.125</v>
      </c>
      <c r="Y5" s="83">
        <v>0.1388888888888889</v>
      </c>
      <c r="Z5" s="237">
        <v>0.15277777777777776</v>
      </c>
      <c r="AA5" s="237">
        <v>0.16666666666666666</v>
      </c>
      <c r="AB5" s="13"/>
    </row>
    <row r="6" spans="1:29" x14ac:dyDescent="0.2">
      <c r="A6" s="14"/>
      <c r="B6" s="49">
        <v>1</v>
      </c>
      <c r="C6" s="238">
        <v>8.7799999999999994</v>
      </c>
      <c r="D6" s="238">
        <v>6.93</v>
      </c>
      <c r="E6" s="238">
        <v>6.9599999999999991</v>
      </c>
      <c r="F6" s="238">
        <v>6.7299999999999995</v>
      </c>
      <c r="G6" s="238">
        <v>6.92</v>
      </c>
      <c r="H6" s="238">
        <v>5.07</v>
      </c>
      <c r="I6" s="238">
        <v>5.0199999999999996</v>
      </c>
      <c r="J6" s="238">
        <v>6.98</v>
      </c>
      <c r="K6" s="238">
        <v>6.82</v>
      </c>
      <c r="L6" s="238">
        <v>7.87</v>
      </c>
      <c r="M6" s="238">
        <v>7.0299999999999994</v>
      </c>
      <c r="N6" s="238">
        <v>7.0400000000000009</v>
      </c>
      <c r="O6" s="238">
        <v>7.0200000000000005</v>
      </c>
      <c r="P6" s="238">
        <v>6.91</v>
      </c>
      <c r="Q6" s="238">
        <v>7.13</v>
      </c>
      <c r="R6" s="238">
        <v>8.06</v>
      </c>
      <c r="S6" s="238">
        <v>7.01</v>
      </c>
      <c r="T6" s="238">
        <v>5.92</v>
      </c>
      <c r="U6" s="238">
        <v>6.9700000000000006</v>
      </c>
      <c r="V6" s="238">
        <v>7.06</v>
      </c>
      <c r="W6" s="238">
        <v>4.7300000000000004</v>
      </c>
      <c r="X6" s="238">
        <v>7.1400000000000006</v>
      </c>
      <c r="Y6" s="238">
        <v>6.92</v>
      </c>
      <c r="Z6" s="238">
        <v>7.01</v>
      </c>
      <c r="AA6" s="238">
        <v>6.99</v>
      </c>
      <c r="AB6" s="13"/>
    </row>
    <row r="7" spans="1:29" x14ac:dyDescent="0.2">
      <c r="A7" s="14"/>
      <c r="B7" s="49">
        <v>2</v>
      </c>
      <c r="C7" s="238">
        <v>7.9700000000000006</v>
      </c>
      <c r="D7" s="238">
        <v>7.9099999999999993</v>
      </c>
      <c r="E7" s="238">
        <v>8.0299999999999994</v>
      </c>
      <c r="F7" s="238">
        <v>7.56</v>
      </c>
      <c r="G7" s="238">
        <v>7.82</v>
      </c>
      <c r="H7" s="238">
        <v>4.72</v>
      </c>
      <c r="I7" s="238">
        <v>6.86</v>
      </c>
      <c r="J7" s="238">
        <v>4.8400000000000007</v>
      </c>
      <c r="K7" s="238">
        <v>4.8599999999999994</v>
      </c>
      <c r="L7" s="238">
        <v>7.88</v>
      </c>
      <c r="M7" s="238">
        <v>7.65</v>
      </c>
      <c r="N7" s="238">
        <v>4.7700000000000005</v>
      </c>
      <c r="O7" s="238">
        <v>8.0299999999999994</v>
      </c>
      <c r="P7" s="238">
        <v>5.98</v>
      </c>
      <c r="Q7" s="238">
        <v>7.92</v>
      </c>
      <c r="R7" s="238">
        <v>7.9099999999999993</v>
      </c>
      <c r="S7" s="238">
        <v>8.09</v>
      </c>
      <c r="T7" s="238">
        <v>6.18</v>
      </c>
      <c r="U7" s="238">
        <v>8.16</v>
      </c>
      <c r="V7" s="238">
        <v>5.0199999999999996</v>
      </c>
      <c r="W7" s="238">
        <v>8.01</v>
      </c>
      <c r="X7" s="238">
        <v>7.9799999999999995</v>
      </c>
      <c r="Y7" s="238">
        <v>4.88</v>
      </c>
      <c r="Z7" s="238">
        <v>8.11</v>
      </c>
      <c r="AA7" s="238">
        <v>7.01</v>
      </c>
      <c r="AB7" s="13"/>
    </row>
    <row r="8" spans="1:29" x14ac:dyDescent="0.2">
      <c r="A8" s="14"/>
      <c r="B8" s="49">
        <v>3</v>
      </c>
      <c r="C8" s="238">
        <v>5.71</v>
      </c>
      <c r="D8" s="238">
        <v>5.57</v>
      </c>
      <c r="E8" s="238">
        <v>5.75</v>
      </c>
      <c r="F8" s="238">
        <v>8.14</v>
      </c>
      <c r="G8" s="238">
        <v>8.84</v>
      </c>
      <c r="H8" s="238">
        <v>4.99</v>
      </c>
      <c r="I8" s="238">
        <v>7</v>
      </c>
      <c r="J8" s="238">
        <v>5.81</v>
      </c>
      <c r="K8" s="238">
        <v>5.8</v>
      </c>
      <c r="L8" s="238">
        <v>6.73</v>
      </c>
      <c r="M8" s="238">
        <v>6.77</v>
      </c>
      <c r="N8" s="238">
        <v>5.83</v>
      </c>
      <c r="O8" s="238">
        <v>5.75</v>
      </c>
      <c r="P8" s="238">
        <v>6.85</v>
      </c>
      <c r="Q8" s="238">
        <v>5.7</v>
      </c>
      <c r="R8" s="238">
        <v>7.71</v>
      </c>
      <c r="S8" s="238">
        <v>5.7400000000000011</v>
      </c>
      <c r="T8" s="238">
        <v>5.71</v>
      </c>
      <c r="U8" s="238">
        <v>5.71</v>
      </c>
      <c r="V8" s="238">
        <v>5.8400000000000007</v>
      </c>
      <c r="W8" s="238">
        <v>5.7700000000000005</v>
      </c>
      <c r="X8" s="238">
        <v>6.65</v>
      </c>
      <c r="Y8" s="238">
        <v>5.56</v>
      </c>
      <c r="Z8" s="238">
        <v>5.76</v>
      </c>
      <c r="AA8" s="238">
        <v>6.73</v>
      </c>
      <c r="AB8" s="13"/>
    </row>
    <row r="9" spans="1:29" x14ac:dyDescent="0.2">
      <c r="A9" s="14"/>
      <c r="B9" s="49">
        <v>4</v>
      </c>
      <c r="C9" s="238">
        <v>6.1</v>
      </c>
      <c r="D9" s="238">
        <v>5.0200000000000005</v>
      </c>
      <c r="E9" s="238">
        <v>8.98</v>
      </c>
      <c r="F9" s="238">
        <v>4.9799999999999995</v>
      </c>
      <c r="G9" s="238">
        <v>7.09</v>
      </c>
      <c r="H9" s="238">
        <v>4.7</v>
      </c>
      <c r="I9" s="238">
        <v>7.61</v>
      </c>
      <c r="J9" s="238">
        <v>5.0200000000000005</v>
      </c>
      <c r="K9" s="238">
        <v>5.01</v>
      </c>
      <c r="L9" s="238">
        <v>7.05</v>
      </c>
      <c r="M9" s="238">
        <v>7.01</v>
      </c>
      <c r="N9" s="238">
        <v>4.9799999999999995</v>
      </c>
      <c r="O9" s="238">
        <v>4.88</v>
      </c>
      <c r="P9" s="238">
        <v>5.0599999999999996</v>
      </c>
      <c r="Q9" s="238">
        <v>5.05</v>
      </c>
      <c r="R9" s="238">
        <v>6.98</v>
      </c>
      <c r="S9" s="238">
        <v>5.0299999999999994</v>
      </c>
      <c r="T9" s="238">
        <v>5.0299999999999994</v>
      </c>
      <c r="U9" s="238">
        <v>4.83</v>
      </c>
      <c r="V9" s="238">
        <v>8.0500000000000007</v>
      </c>
      <c r="W9" s="238">
        <v>4.95</v>
      </c>
      <c r="X9" s="238">
        <v>6.01</v>
      </c>
      <c r="Y9" s="238">
        <v>5.01</v>
      </c>
      <c r="Z9" s="238">
        <v>4.9799999999999995</v>
      </c>
      <c r="AA9" s="238">
        <v>7.04</v>
      </c>
      <c r="AB9" s="13"/>
    </row>
    <row r="10" spans="1:29" x14ac:dyDescent="0.2">
      <c r="A10" s="14" t="s">
        <v>12</v>
      </c>
      <c r="B10" s="50">
        <v>5</v>
      </c>
      <c r="C10" s="238">
        <v>6.82</v>
      </c>
      <c r="D10" s="238">
        <v>4.93</v>
      </c>
      <c r="E10" s="238">
        <v>4.67</v>
      </c>
      <c r="F10" s="238">
        <v>4.7700000000000005</v>
      </c>
      <c r="G10" s="238">
        <v>8.01</v>
      </c>
      <c r="H10" s="238">
        <v>5.28</v>
      </c>
      <c r="I10" s="238">
        <v>6.06</v>
      </c>
      <c r="J10" s="238">
        <v>6.9</v>
      </c>
      <c r="K10" s="238">
        <v>7.9700000000000006</v>
      </c>
      <c r="L10" s="238">
        <v>7.85</v>
      </c>
      <c r="M10" s="238">
        <v>8.0500000000000007</v>
      </c>
      <c r="N10" s="238">
        <v>8.18</v>
      </c>
      <c r="O10" s="238">
        <v>4.8099999999999996</v>
      </c>
      <c r="P10" s="238">
        <v>6.07</v>
      </c>
      <c r="Q10" s="238">
        <v>4.8599999999999994</v>
      </c>
      <c r="R10" s="238">
        <v>7.72</v>
      </c>
      <c r="S10" s="238">
        <v>4.8</v>
      </c>
      <c r="T10" s="238">
        <v>4.7799999999999994</v>
      </c>
      <c r="U10" s="238">
        <v>5.04</v>
      </c>
      <c r="V10" s="238">
        <v>4.7799999999999994</v>
      </c>
      <c r="W10" s="238">
        <v>6.76</v>
      </c>
      <c r="X10" s="238">
        <v>5.87</v>
      </c>
      <c r="Y10" s="238">
        <v>7.94</v>
      </c>
      <c r="Z10" s="238">
        <v>4.67</v>
      </c>
      <c r="AA10" s="238">
        <v>7.78</v>
      </c>
      <c r="AB10" s="13"/>
    </row>
    <row r="11" spans="1:29" x14ac:dyDescent="0.2">
      <c r="A11" s="163" t="s">
        <v>13</v>
      </c>
      <c r="B11" s="164"/>
      <c r="C11" s="239">
        <f t="shared" ref="C11:AA11" si="0">IF(C14=0,"",$H$3+(AVERAGE(C6:C10)*(1*10^(-$K$3))))</f>
        <v>7.0760000000000005</v>
      </c>
      <c r="D11" s="239">
        <f t="shared" si="0"/>
        <v>6.0720000000000001</v>
      </c>
      <c r="E11" s="239">
        <f t="shared" si="0"/>
        <v>6.8780000000000001</v>
      </c>
      <c r="F11" s="239">
        <f t="shared" si="0"/>
        <v>6.4359999999999999</v>
      </c>
      <c r="G11" s="239">
        <f t="shared" si="0"/>
        <v>7.7359999999999998</v>
      </c>
      <c r="H11" s="239" t="str">
        <f t="shared" si="0"/>
        <v/>
      </c>
      <c r="I11" s="239">
        <f t="shared" si="0"/>
        <v>6.51</v>
      </c>
      <c r="J11" s="239">
        <f t="shared" si="0"/>
        <v>5.9099999999999993</v>
      </c>
      <c r="K11" s="239">
        <f t="shared" si="0"/>
        <v>6.0920000000000005</v>
      </c>
      <c r="L11" s="239">
        <f t="shared" si="0"/>
        <v>7.4760000000000009</v>
      </c>
      <c r="M11" s="239">
        <f t="shared" si="0"/>
        <v>7.3020000000000014</v>
      </c>
      <c r="N11" s="239">
        <f t="shared" si="0"/>
        <v>6.16</v>
      </c>
      <c r="O11" s="239">
        <f t="shared" si="0"/>
        <v>6.0979999999999999</v>
      </c>
      <c r="P11" s="239">
        <f t="shared" si="0"/>
        <v>6.1740000000000004</v>
      </c>
      <c r="Q11" s="239">
        <f t="shared" si="0"/>
        <v>6.1319999999999997</v>
      </c>
      <c r="R11" s="239">
        <f t="shared" si="0"/>
        <v>7.6760000000000002</v>
      </c>
      <c r="S11" s="239">
        <f t="shared" si="0"/>
        <v>6.1339999999999995</v>
      </c>
      <c r="T11" s="239">
        <f t="shared" si="0"/>
        <v>5.5239999999999991</v>
      </c>
      <c r="U11" s="239">
        <f t="shared" si="0"/>
        <v>6.1420000000000003</v>
      </c>
      <c r="V11" s="239">
        <f t="shared" si="0"/>
        <v>6.15</v>
      </c>
      <c r="W11" s="239">
        <f t="shared" si="0"/>
        <v>6.0439999999999996</v>
      </c>
      <c r="X11" s="239">
        <f t="shared" si="0"/>
        <v>6.7299999999999995</v>
      </c>
      <c r="Y11" s="239">
        <f t="shared" si="0"/>
        <v>6.0619999999999994</v>
      </c>
      <c r="Z11" s="239">
        <f t="shared" si="0"/>
        <v>6.1059999999999999</v>
      </c>
      <c r="AA11" s="239">
        <f t="shared" si="0"/>
        <v>7.1099999999999994</v>
      </c>
      <c r="AB11" s="240">
        <f>IF(AC14&lt;12, NA(), AVERAGE(C11:AA11))</f>
        <v>6.4887500000000005</v>
      </c>
    </row>
    <row r="12" spans="1:29" x14ac:dyDescent="0.2">
      <c r="A12" s="166" t="s">
        <v>82</v>
      </c>
      <c r="B12" s="167"/>
      <c r="C12" s="241">
        <f t="shared" ref="C12:AA12" si="1">IF(C14=0,"",  (MAX(C6:C10)-MIN(C6:C10))*(1*10^(-$K$3)))</f>
        <v>3.0699999999999994</v>
      </c>
      <c r="D12" s="241">
        <f t="shared" si="1"/>
        <v>2.9799999999999995</v>
      </c>
      <c r="E12" s="241">
        <f t="shared" si="1"/>
        <v>4.3100000000000005</v>
      </c>
      <c r="F12" s="241">
        <f t="shared" si="1"/>
        <v>3.37</v>
      </c>
      <c r="G12" s="241">
        <f t="shared" si="1"/>
        <v>1.92</v>
      </c>
      <c r="H12" s="241" t="str">
        <f t="shared" si="1"/>
        <v/>
      </c>
      <c r="I12" s="241">
        <f t="shared" si="1"/>
        <v>2.5900000000000007</v>
      </c>
      <c r="J12" s="241">
        <f t="shared" si="1"/>
        <v>2.1399999999999997</v>
      </c>
      <c r="K12" s="241">
        <f t="shared" si="1"/>
        <v>3.1100000000000012</v>
      </c>
      <c r="L12" s="241">
        <f t="shared" si="1"/>
        <v>1.1499999999999995</v>
      </c>
      <c r="M12" s="241">
        <f t="shared" si="1"/>
        <v>1.2800000000000011</v>
      </c>
      <c r="N12" s="241">
        <f t="shared" si="1"/>
        <v>3.4099999999999993</v>
      </c>
      <c r="O12" s="241">
        <f t="shared" si="1"/>
        <v>3.2199999999999998</v>
      </c>
      <c r="P12" s="241">
        <f t="shared" si="1"/>
        <v>1.8500000000000005</v>
      </c>
      <c r="Q12" s="241">
        <f t="shared" si="1"/>
        <v>3.0600000000000005</v>
      </c>
      <c r="R12" s="241">
        <f t="shared" si="1"/>
        <v>1.08</v>
      </c>
      <c r="S12" s="241">
        <f t="shared" si="1"/>
        <v>3.29</v>
      </c>
      <c r="T12" s="241">
        <f t="shared" si="1"/>
        <v>1.4000000000000004</v>
      </c>
      <c r="U12" s="241">
        <f t="shared" si="1"/>
        <v>3.33</v>
      </c>
      <c r="V12" s="241">
        <f t="shared" si="1"/>
        <v>3.2700000000000014</v>
      </c>
      <c r="W12" s="241">
        <f t="shared" si="1"/>
        <v>3.2799999999999994</v>
      </c>
      <c r="X12" s="241">
        <f t="shared" si="1"/>
        <v>2.1099999999999994</v>
      </c>
      <c r="Y12" s="241">
        <f t="shared" si="1"/>
        <v>3.0600000000000005</v>
      </c>
      <c r="Z12" s="241">
        <f t="shared" si="1"/>
        <v>3.4399999999999995</v>
      </c>
      <c r="AA12" s="241">
        <f t="shared" si="1"/>
        <v>1.0499999999999998</v>
      </c>
      <c r="AB12" s="242">
        <f>IF(AC14&lt;12, NA(), AVERAGE(C12:AA12))</f>
        <v>2.6154166666666669</v>
      </c>
    </row>
    <row r="13" spans="1:29" ht="15" customHeight="1" x14ac:dyDescent="0.2">
      <c r="A13" s="163" t="s">
        <v>79</v>
      </c>
      <c r="B13" s="168"/>
      <c r="C13" s="192" t="b">
        <v>0</v>
      </c>
      <c r="D13" s="192" t="b">
        <v>0</v>
      </c>
      <c r="E13" s="192" t="b">
        <v>0</v>
      </c>
      <c r="F13" s="192" t="b">
        <v>0</v>
      </c>
      <c r="G13" s="192" t="b">
        <v>0</v>
      </c>
      <c r="H13" s="192" t="b">
        <v>1</v>
      </c>
      <c r="I13" s="192" t="b">
        <v>0</v>
      </c>
      <c r="J13" s="192" t="b">
        <v>0</v>
      </c>
      <c r="K13" s="192" t="b">
        <v>0</v>
      </c>
      <c r="L13" s="192" t="b">
        <v>0</v>
      </c>
      <c r="M13" s="192" t="b">
        <v>0</v>
      </c>
      <c r="N13" s="192" t="b">
        <v>0</v>
      </c>
      <c r="O13" s="192" t="b">
        <v>0</v>
      </c>
      <c r="P13" s="192" t="b">
        <v>0</v>
      </c>
      <c r="Q13" s="192" t="b">
        <v>0</v>
      </c>
      <c r="R13" s="192" t="b">
        <v>0</v>
      </c>
      <c r="S13" s="192" t="b">
        <v>0</v>
      </c>
      <c r="T13" s="192" t="b">
        <v>0</v>
      </c>
      <c r="U13" s="192" t="b">
        <v>0</v>
      </c>
      <c r="V13" s="192" t="b">
        <v>0</v>
      </c>
      <c r="W13" s="192" t="b">
        <v>0</v>
      </c>
      <c r="X13" s="192" t="b">
        <v>0</v>
      </c>
      <c r="Y13" s="192" t="b">
        <v>0</v>
      </c>
      <c r="Z13" s="192" t="b">
        <v>0</v>
      </c>
      <c r="AA13" s="192" t="b">
        <v>0</v>
      </c>
      <c r="AB13" s="193"/>
      <c r="AC13" s="135">
        <f t="array" ref="AC13">+SUM(IF(C13:AA13=TRUE, 1, 0))</f>
        <v>1</v>
      </c>
    </row>
    <row r="14" spans="1:29" s="160" customFormat="1" hidden="1" x14ac:dyDescent="0.2">
      <c r="A14" s="169" t="s">
        <v>80</v>
      </c>
      <c r="B14" s="170"/>
      <c r="C14" s="170">
        <f t="shared" ref="C14:AA14" si="2">+IF(OR(ISBLANK(C7), C13=TRUE), 0, 1)</f>
        <v>1</v>
      </c>
      <c r="D14" s="170">
        <f t="shared" si="2"/>
        <v>1</v>
      </c>
      <c r="E14" s="170">
        <f t="shared" si="2"/>
        <v>1</v>
      </c>
      <c r="F14" s="170">
        <f t="shared" si="2"/>
        <v>1</v>
      </c>
      <c r="G14" s="170">
        <f t="shared" si="2"/>
        <v>1</v>
      </c>
      <c r="H14" s="170">
        <f t="shared" si="2"/>
        <v>0</v>
      </c>
      <c r="I14" s="170">
        <f t="shared" si="2"/>
        <v>1</v>
      </c>
      <c r="J14" s="170">
        <f t="shared" si="2"/>
        <v>1</v>
      </c>
      <c r="K14" s="170">
        <f t="shared" si="2"/>
        <v>1</v>
      </c>
      <c r="L14" s="170">
        <f t="shared" si="2"/>
        <v>1</v>
      </c>
      <c r="M14" s="170">
        <f t="shared" si="2"/>
        <v>1</v>
      </c>
      <c r="N14" s="170">
        <f t="shared" si="2"/>
        <v>1</v>
      </c>
      <c r="O14" s="170">
        <f t="shared" si="2"/>
        <v>1</v>
      </c>
      <c r="P14" s="170">
        <f t="shared" si="2"/>
        <v>1</v>
      </c>
      <c r="Q14" s="170">
        <f t="shared" si="2"/>
        <v>1</v>
      </c>
      <c r="R14" s="170">
        <f t="shared" si="2"/>
        <v>1</v>
      </c>
      <c r="S14" s="170">
        <f t="shared" si="2"/>
        <v>1</v>
      </c>
      <c r="T14" s="170">
        <f t="shared" si="2"/>
        <v>1</v>
      </c>
      <c r="U14" s="170">
        <f t="shared" si="2"/>
        <v>1</v>
      </c>
      <c r="V14" s="170">
        <f t="shared" si="2"/>
        <v>1</v>
      </c>
      <c r="W14" s="170">
        <f t="shared" si="2"/>
        <v>1</v>
      </c>
      <c r="X14" s="170">
        <f t="shared" si="2"/>
        <v>1</v>
      </c>
      <c r="Y14" s="170">
        <f t="shared" si="2"/>
        <v>1</v>
      </c>
      <c r="Z14" s="170">
        <f t="shared" si="2"/>
        <v>1</v>
      </c>
      <c r="AA14" s="170">
        <f t="shared" si="2"/>
        <v>1</v>
      </c>
      <c r="AB14" s="171"/>
      <c r="AC14" s="194">
        <f>+SUM(C14:AA14)</f>
        <v>24</v>
      </c>
    </row>
    <row r="15" spans="1:29" ht="13.5" customHeight="1" x14ac:dyDescent="0.2">
      <c r="A15" s="87" t="s">
        <v>14</v>
      </c>
      <c r="B15" s="172"/>
      <c r="C15" s="173">
        <v>1</v>
      </c>
      <c r="D15" s="173">
        <v>2</v>
      </c>
      <c r="E15" s="173">
        <v>3</v>
      </c>
      <c r="F15" s="173">
        <v>4</v>
      </c>
      <c r="G15" s="173">
        <v>5</v>
      </c>
      <c r="H15" s="173">
        <v>6</v>
      </c>
      <c r="I15" s="173">
        <v>7</v>
      </c>
      <c r="J15" s="173">
        <v>8</v>
      </c>
      <c r="K15" s="173">
        <v>9</v>
      </c>
      <c r="L15" s="173">
        <v>10</v>
      </c>
      <c r="M15" s="173">
        <v>11</v>
      </c>
      <c r="N15" s="173">
        <v>12</v>
      </c>
      <c r="O15" s="173">
        <v>13</v>
      </c>
      <c r="P15" s="173">
        <v>14</v>
      </c>
      <c r="Q15" s="173">
        <v>15</v>
      </c>
      <c r="R15" s="173">
        <v>16</v>
      </c>
      <c r="S15" s="173">
        <v>17</v>
      </c>
      <c r="T15" s="173">
        <v>18</v>
      </c>
      <c r="U15" s="173">
        <v>19</v>
      </c>
      <c r="V15" s="173">
        <v>20</v>
      </c>
      <c r="W15" s="173">
        <v>21</v>
      </c>
      <c r="X15" s="173">
        <v>22</v>
      </c>
      <c r="Y15" s="173">
        <v>23</v>
      </c>
      <c r="Z15" s="173">
        <v>24</v>
      </c>
      <c r="AA15" s="173">
        <v>25</v>
      </c>
      <c r="AB15" s="165"/>
    </row>
    <row r="16" spans="1:29" s="160" customFormat="1" ht="15.75" hidden="1" x14ac:dyDescent="0.3">
      <c r="A16" s="174" t="s">
        <v>15</v>
      </c>
      <c r="B16" s="175"/>
      <c r="C16" s="176">
        <f>IF(C14=0,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D16" s="176">
        <f>IF(D14=0,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E16" s="176">
        <f>IF(E14=0,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F16" s="176">
        <f>IF(F14=0,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G16" s="176">
        <f>IF(G14=0,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H16" s="176" t="str">
        <f>IF(H14=0,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/>
      </c>
      <c r="I16" s="176">
        <f>IF(I14=0,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J16" s="176">
        <f>IF(J14=0,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K16" s="176">
        <f>IF(K14=0,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L16" s="176">
        <f>IF(L14=0,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M16" s="176">
        <f>IF(M14=0,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N16" s="176">
        <f>IF(N14=0,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O16" s="176">
        <f>IF(O14=0,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P16" s="176">
        <f>IF(P14=0,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Q16" s="176">
        <f>IF(Q14=0,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R16" s="176">
        <f>IF(R14=0,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S16" s="176">
        <f>IF(S14=0,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T16" s="176">
        <f>IF(T14=0,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U16" s="176">
        <f>IF(U14=0,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V16" s="176">
        <f>IF(V14=0,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W16" s="176">
        <f>IF(W14=0,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X16" s="176">
        <f>IF(X14=0,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Y16" s="176">
        <f>IF(Y14=0,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Z16" s="176">
        <f>IF(Z14=0,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AA16" s="176">
        <f>IF(AA14=0, "",IF(OR(ISBLANK($D$2),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AB16" s="200" t="str">
        <f>IF(AB14=0, "", IF(OR(ISBLANK($D$2), ISBLANK($D$3)), $F$2+$F$3*LOOKUP(Formulas!$B$13, Formulas!$F$3:'Formulas'!$F$11, Formulas!$H$3:'Formulas'!$H$11), $D$2+$D$3*LOOKUP(Formulas!$B$13, Formulas!$F$3:'Formulas'!$F$11, Formulas!$H$3:'Formulas'!$H$11)))</f>
        <v/>
      </c>
    </row>
    <row r="17" spans="1:29" ht="15.75" x14ac:dyDescent="0.3">
      <c r="A17" s="87" t="s">
        <v>15</v>
      </c>
      <c r="B17" s="172"/>
      <c r="C17" s="177">
        <f>IF(C14=0,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D17" s="177">
        <f>IF(D14=0,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E17" s="177">
        <f>IF(E14=0,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F17" s="177">
        <f>IF(F14=0,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G17" s="177">
        <f>IF(G14=0,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H17" s="177" t="e">
        <f>IF(H14=0,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#N/A</v>
      </c>
      <c r="I17" s="177">
        <f>IF(I14=0,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J17" s="177">
        <f>IF(J14=0,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K17" s="177">
        <f>IF(K14=0,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L17" s="177">
        <f>IF(L14=0,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M17" s="177">
        <f>IF(M14=0,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N17" s="177">
        <f>IF(N14=0,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O17" s="177">
        <f>IF(O14=0,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P17" s="177">
        <f>IF(P14=0,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Q17" s="177">
        <f>IF(Q14=0,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R17" s="177">
        <f>IF(R14=0,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S17" s="177">
        <f>IF(S14=0,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T17" s="177">
        <f>IF(T14=0,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U17" s="177">
        <f>IF(U14=0,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V17" s="177">
        <f>IF(V14=0,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W17" s="177">
        <f>IF(W14=0,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X17" s="177">
        <f>IF(X14=0,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Y17" s="177">
        <f>IF(Y14=0,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Z17" s="177">
        <f>IF(Z14=0,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AA17" s="177">
        <f>IF(AA14=0, NA(),IF(OR(ISBLANK($D$2), ISBLANK($D$3)), ROUNDUP($F$2+$F$3*LOOKUP(Formulas!$B$13, Formulas!$F$3:'Formulas'!$F$11, Formulas!$H$3:'Formulas'!$H$11),$J$1+1), ROUNDUP($D$2+$D$3*LOOKUP(Formulas!$B$13, Formulas!$F$3:'Formulas'!$F$11, Formulas!$H$3:'Formulas'!$H$11),$J$1+1)))</f>
        <v>7.9980000000000002</v>
      </c>
      <c r="AB17" s="201"/>
    </row>
    <row r="18" spans="1:29" s="160" customFormat="1" ht="15.75" hidden="1" x14ac:dyDescent="0.3">
      <c r="A18" s="169" t="s">
        <v>16</v>
      </c>
      <c r="B18" s="170"/>
      <c r="C18" s="178">
        <f>IF(C14=0,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D18" s="178">
        <f>IF(D14=0,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E18" s="178">
        <f>IF(E14=0,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F18" s="178">
        <f>IF(F14=0,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G18" s="178">
        <f>IF(G14=0,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H18" s="178" t="str">
        <f>IF(H14=0,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/>
      </c>
      <c r="I18" s="178">
        <f>IF(I14=0,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J18" s="178">
        <f>IF(J14=0,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K18" s="178">
        <f>IF(K14=0,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L18" s="178">
        <f>IF(L14=0,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M18" s="178">
        <f>IF(M14=0,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N18" s="178">
        <f>IF(N14=0,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O18" s="178">
        <f>IF(O14=0,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P18" s="178">
        <f>IF(P14=0,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Q18" s="178">
        <f>IF(Q14=0,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R18" s="178">
        <f>IF(R14=0,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S18" s="178">
        <f>IF(S14=0,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T18" s="178">
        <f>IF(T14=0,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U18" s="178">
        <f>IF(U14=0,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V18" s="178">
        <f>IF(V14=0,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W18" s="178">
        <f>IF(W14=0,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X18" s="178">
        <f>IF(X14=0,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Y18" s="178">
        <f>IF(Y14=0,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Z18" s="178">
        <f>IF(Z14=0,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AA18" s="178">
        <f>IF(AA14=0, "",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AB18" s="202" t="str">
        <f>IF(AB14=0, "", IF(OR(ISBLANK($D$2), ISBLANK($D$3)), $F$2-$F$3*LOOKUP(Formulas!$B$13, Formulas!$F$3:'Formulas'!$F$11, Formulas!$H$3:'Formulas'!$H$11), $D$2-$D$3*LOOKUP(Formulas!$B$13, Formulas!$F$3:'Formulas'!$F$11, Formulas!$H$3:'Formulas'!$H$11)))</f>
        <v/>
      </c>
    </row>
    <row r="19" spans="1:29" ht="15.75" x14ac:dyDescent="0.3">
      <c r="A19" s="87" t="s">
        <v>16</v>
      </c>
      <c r="B19" s="172"/>
      <c r="C19" s="177">
        <f>IF(C14=0,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D19" s="177">
        <f>IF(D14=0,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E19" s="177">
        <f>IF(E14=0,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F19" s="177">
        <f>IF(F14=0,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G19" s="177">
        <f>IF(G14=0,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H19" s="177" t="e">
        <f>IF(H14=0,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#N/A</v>
      </c>
      <c r="I19" s="177">
        <f>IF(I14=0,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J19" s="177">
        <f>IF(J14=0,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K19" s="177">
        <f>IF(K14=0,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L19" s="177">
        <f>IF(L14=0,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M19" s="177">
        <f>IF(M14=0,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N19" s="177">
        <f>IF(N14=0,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O19" s="177">
        <f>IF(O14=0,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P19" s="177">
        <f>IF(P14=0,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Q19" s="177">
        <f>IF(Q14=0,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R19" s="177">
        <f>IF(R14=0,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S19" s="177">
        <f>IF(S14=0,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T19" s="177">
        <f>IF(T14=0,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U19" s="177">
        <f>IF(U14=0,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V19" s="177">
        <f>IF(V14=0,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W19" s="177">
        <f>IF(W14=0,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X19" s="177">
        <f>IF(X14=0,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Y19" s="177">
        <f>IF(Y14=0,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Z19" s="177">
        <f>IF(Z14=0,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AA19" s="177">
        <f>IF(AA14=0, NA(), IF(OR(ISBLANK($D$2), ISBLANK($D$3)), ROUNDDOWN($F$2-$F$3*LOOKUP(Formulas!$B$13, Formulas!$F$3:'Formulas'!$F$11, Formulas!$H$3:'Formulas'!$H$11),$J$1+1), ROUNDDOWN($D$2-$D$3*LOOKUP(Formulas!$B$13, Formulas!$F$3:'Formulas'!$F$11, Formulas!$H$3:'Formulas'!$H$11),$J$1+1)))</f>
        <v>4.9790000000000001</v>
      </c>
      <c r="AB19" s="201"/>
    </row>
    <row r="20" spans="1:29" hidden="1" x14ac:dyDescent="0.2">
      <c r="A20" s="169" t="s">
        <v>4</v>
      </c>
      <c r="B20" s="170"/>
      <c r="C20" s="178">
        <f t="shared" ref="C20:AA20" si="3">IF(C14=0, "", IF(OR(ISBLANK($D$2), ISBLANK($D$3)), ROUND($F$2,$J$1+1), ROUND($D$2,$J$1+1)))</f>
        <v>6.4889999999999999</v>
      </c>
      <c r="D20" s="178">
        <f t="shared" si="3"/>
        <v>6.4889999999999999</v>
      </c>
      <c r="E20" s="178">
        <f t="shared" si="3"/>
        <v>6.4889999999999999</v>
      </c>
      <c r="F20" s="178">
        <f t="shared" si="3"/>
        <v>6.4889999999999999</v>
      </c>
      <c r="G20" s="178">
        <f t="shared" si="3"/>
        <v>6.4889999999999999</v>
      </c>
      <c r="H20" s="178" t="str">
        <f t="shared" si="3"/>
        <v/>
      </c>
      <c r="I20" s="178">
        <f t="shared" si="3"/>
        <v>6.4889999999999999</v>
      </c>
      <c r="J20" s="178">
        <f t="shared" si="3"/>
        <v>6.4889999999999999</v>
      </c>
      <c r="K20" s="178">
        <f t="shared" si="3"/>
        <v>6.4889999999999999</v>
      </c>
      <c r="L20" s="178">
        <f t="shared" si="3"/>
        <v>6.4889999999999999</v>
      </c>
      <c r="M20" s="178">
        <f t="shared" si="3"/>
        <v>6.4889999999999999</v>
      </c>
      <c r="N20" s="178">
        <f t="shared" si="3"/>
        <v>6.4889999999999999</v>
      </c>
      <c r="O20" s="178">
        <f t="shared" si="3"/>
        <v>6.4889999999999999</v>
      </c>
      <c r="P20" s="178">
        <f t="shared" si="3"/>
        <v>6.4889999999999999</v>
      </c>
      <c r="Q20" s="178">
        <f t="shared" si="3"/>
        <v>6.4889999999999999</v>
      </c>
      <c r="R20" s="178">
        <f t="shared" si="3"/>
        <v>6.4889999999999999</v>
      </c>
      <c r="S20" s="178">
        <f t="shared" si="3"/>
        <v>6.4889999999999999</v>
      </c>
      <c r="T20" s="178">
        <f t="shared" si="3"/>
        <v>6.4889999999999999</v>
      </c>
      <c r="U20" s="178">
        <f t="shared" si="3"/>
        <v>6.4889999999999999</v>
      </c>
      <c r="V20" s="178">
        <f t="shared" si="3"/>
        <v>6.4889999999999999</v>
      </c>
      <c r="W20" s="178">
        <f t="shared" si="3"/>
        <v>6.4889999999999999</v>
      </c>
      <c r="X20" s="178">
        <f t="shared" si="3"/>
        <v>6.4889999999999999</v>
      </c>
      <c r="Y20" s="178">
        <f t="shared" si="3"/>
        <v>6.4889999999999999</v>
      </c>
      <c r="Z20" s="178">
        <f t="shared" si="3"/>
        <v>6.4889999999999999</v>
      </c>
      <c r="AA20" s="178">
        <f t="shared" si="3"/>
        <v>6.4889999999999999</v>
      </c>
      <c r="AB20" s="202" t="str">
        <f>IF(AB14=0, "", IF(OR(ISBLANK($D$2), ISBLANK($D$3)), $F$2, $D$2))</f>
        <v/>
      </c>
      <c r="AC20" s="5"/>
    </row>
    <row r="21" spans="1:29" s="155" customFormat="1" x14ac:dyDescent="0.2">
      <c r="A21" s="87" t="s">
        <v>4</v>
      </c>
      <c r="B21" s="172"/>
      <c r="C21" s="177">
        <f t="shared" ref="C21:AA21" si="4">IF(C14=0, NA(), IF(OR(ISBLANK($D$2), ISBLANK($D$3)), ROUND($F$2,$J$1+1), ROUND($D$2,$J$1+1)))</f>
        <v>6.4889999999999999</v>
      </c>
      <c r="D21" s="177">
        <f t="shared" si="4"/>
        <v>6.4889999999999999</v>
      </c>
      <c r="E21" s="177">
        <f t="shared" si="4"/>
        <v>6.4889999999999999</v>
      </c>
      <c r="F21" s="177">
        <f t="shared" si="4"/>
        <v>6.4889999999999999</v>
      </c>
      <c r="G21" s="177">
        <f t="shared" si="4"/>
        <v>6.4889999999999999</v>
      </c>
      <c r="H21" s="177" t="e">
        <f t="shared" si="4"/>
        <v>#N/A</v>
      </c>
      <c r="I21" s="177">
        <f t="shared" si="4"/>
        <v>6.4889999999999999</v>
      </c>
      <c r="J21" s="177">
        <f t="shared" si="4"/>
        <v>6.4889999999999999</v>
      </c>
      <c r="K21" s="177">
        <f t="shared" si="4"/>
        <v>6.4889999999999999</v>
      </c>
      <c r="L21" s="177">
        <f t="shared" si="4"/>
        <v>6.4889999999999999</v>
      </c>
      <c r="M21" s="177">
        <f t="shared" si="4"/>
        <v>6.4889999999999999</v>
      </c>
      <c r="N21" s="177">
        <f t="shared" si="4"/>
        <v>6.4889999999999999</v>
      </c>
      <c r="O21" s="177">
        <f t="shared" si="4"/>
        <v>6.4889999999999999</v>
      </c>
      <c r="P21" s="177">
        <f t="shared" si="4"/>
        <v>6.4889999999999999</v>
      </c>
      <c r="Q21" s="177">
        <f t="shared" si="4"/>
        <v>6.4889999999999999</v>
      </c>
      <c r="R21" s="177">
        <f t="shared" si="4"/>
        <v>6.4889999999999999</v>
      </c>
      <c r="S21" s="177">
        <f t="shared" si="4"/>
        <v>6.4889999999999999</v>
      </c>
      <c r="T21" s="177">
        <f t="shared" si="4"/>
        <v>6.4889999999999999</v>
      </c>
      <c r="U21" s="177">
        <f t="shared" si="4"/>
        <v>6.4889999999999999</v>
      </c>
      <c r="V21" s="177">
        <f t="shared" si="4"/>
        <v>6.4889999999999999</v>
      </c>
      <c r="W21" s="177">
        <f t="shared" si="4"/>
        <v>6.4889999999999999</v>
      </c>
      <c r="X21" s="177">
        <f t="shared" si="4"/>
        <v>6.4889999999999999</v>
      </c>
      <c r="Y21" s="177">
        <f t="shared" si="4"/>
        <v>6.4889999999999999</v>
      </c>
      <c r="Z21" s="177">
        <f t="shared" si="4"/>
        <v>6.4889999999999999</v>
      </c>
      <c r="AA21" s="177">
        <f t="shared" si="4"/>
        <v>6.4889999999999999</v>
      </c>
      <c r="AB21" s="201"/>
    </row>
    <row r="22" spans="1:29" s="159" customFormat="1" hidden="1" x14ac:dyDescent="0.2">
      <c r="A22" s="169" t="s">
        <v>17</v>
      </c>
      <c r="B22" s="170"/>
      <c r="C22" s="178">
        <f t="shared" ref="C22:AA22" si="5">+IF(C14=0, "", ROUND(C11,$J$1+1))</f>
        <v>7.0759999999999996</v>
      </c>
      <c r="D22" s="178">
        <f t="shared" si="5"/>
        <v>6.0720000000000001</v>
      </c>
      <c r="E22" s="178">
        <f t="shared" si="5"/>
        <v>6.8780000000000001</v>
      </c>
      <c r="F22" s="178">
        <f t="shared" si="5"/>
        <v>6.4359999999999999</v>
      </c>
      <c r="G22" s="178">
        <f t="shared" si="5"/>
        <v>7.7359999999999998</v>
      </c>
      <c r="H22" s="178" t="str">
        <f t="shared" si="5"/>
        <v/>
      </c>
      <c r="I22" s="178">
        <f t="shared" si="5"/>
        <v>6.51</v>
      </c>
      <c r="J22" s="178">
        <f t="shared" si="5"/>
        <v>5.91</v>
      </c>
      <c r="K22" s="178">
        <f t="shared" si="5"/>
        <v>6.0919999999999996</v>
      </c>
      <c r="L22" s="178">
        <f t="shared" si="5"/>
        <v>7.476</v>
      </c>
      <c r="M22" s="178">
        <f t="shared" si="5"/>
        <v>7.3019999999999996</v>
      </c>
      <c r="N22" s="178">
        <f t="shared" si="5"/>
        <v>6.16</v>
      </c>
      <c r="O22" s="178">
        <f t="shared" si="5"/>
        <v>6.0979999999999999</v>
      </c>
      <c r="P22" s="178">
        <f t="shared" si="5"/>
        <v>6.1740000000000004</v>
      </c>
      <c r="Q22" s="178">
        <f t="shared" si="5"/>
        <v>6.1319999999999997</v>
      </c>
      <c r="R22" s="178">
        <f t="shared" si="5"/>
        <v>7.6760000000000002</v>
      </c>
      <c r="S22" s="178">
        <f t="shared" si="5"/>
        <v>6.1340000000000003</v>
      </c>
      <c r="T22" s="178">
        <f t="shared" si="5"/>
        <v>5.524</v>
      </c>
      <c r="U22" s="178">
        <f t="shared" si="5"/>
        <v>6.1420000000000003</v>
      </c>
      <c r="V22" s="178">
        <f t="shared" si="5"/>
        <v>6.15</v>
      </c>
      <c r="W22" s="178">
        <f t="shared" si="5"/>
        <v>6.0439999999999996</v>
      </c>
      <c r="X22" s="178">
        <f t="shared" si="5"/>
        <v>6.73</v>
      </c>
      <c r="Y22" s="178">
        <f t="shared" si="5"/>
        <v>6.0620000000000003</v>
      </c>
      <c r="Z22" s="178">
        <f t="shared" si="5"/>
        <v>6.1059999999999999</v>
      </c>
      <c r="AA22" s="178">
        <f t="shared" si="5"/>
        <v>7.11</v>
      </c>
      <c r="AB22" s="179"/>
      <c r="AC22" s="158"/>
    </row>
    <row r="23" spans="1:29" s="155" customFormat="1" x14ac:dyDescent="0.2">
      <c r="A23" s="87" t="s">
        <v>17</v>
      </c>
      <c r="B23" s="172"/>
      <c r="C23" s="177">
        <f t="shared" ref="C23:AA23" si="6">+IF(C14=1, C22, NA())</f>
        <v>7.0759999999999996</v>
      </c>
      <c r="D23" s="177">
        <f t="shared" si="6"/>
        <v>6.0720000000000001</v>
      </c>
      <c r="E23" s="177">
        <f t="shared" si="6"/>
        <v>6.8780000000000001</v>
      </c>
      <c r="F23" s="177">
        <f t="shared" si="6"/>
        <v>6.4359999999999999</v>
      </c>
      <c r="G23" s="177">
        <f t="shared" si="6"/>
        <v>7.7359999999999998</v>
      </c>
      <c r="H23" s="177" t="e">
        <f t="shared" si="6"/>
        <v>#N/A</v>
      </c>
      <c r="I23" s="177">
        <f t="shared" si="6"/>
        <v>6.51</v>
      </c>
      <c r="J23" s="177">
        <f t="shared" si="6"/>
        <v>5.91</v>
      </c>
      <c r="K23" s="177">
        <f t="shared" si="6"/>
        <v>6.0919999999999996</v>
      </c>
      <c r="L23" s="177">
        <f t="shared" si="6"/>
        <v>7.476</v>
      </c>
      <c r="M23" s="177">
        <f t="shared" si="6"/>
        <v>7.3019999999999996</v>
      </c>
      <c r="N23" s="177">
        <f t="shared" si="6"/>
        <v>6.16</v>
      </c>
      <c r="O23" s="177">
        <f t="shared" si="6"/>
        <v>6.0979999999999999</v>
      </c>
      <c r="P23" s="177">
        <f t="shared" si="6"/>
        <v>6.1740000000000004</v>
      </c>
      <c r="Q23" s="177">
        <f t="shared" si="6"/>
        <v>6.1319999999999997</v>
      </c>
      <c r="R23" s="177">
        <f t="shared" si="6"/>
        <v>7.6760000000000002</v>
      </c>
      <c r="S23" s="177">
        <f t="shared" si="6"/>
        <v>6.1340000000000003</v>
      </c>
      <c r="T23" s="177">
        <f t="shared" si="6"/>
        <v>5.524</v>
      </c>
      <c r="U23" s="177">
        <f t="shared" si="6"/>
        <v>6.1420000000000003</v>
      </c>
      <c r="V23" s="177">
        <f t="shared" si="6"/>
        <v>6.15</v>
      </c>
      <c r="W23" s="177">
        <f t="shared" si="6"/>
        <v>6.0439999999999996</v>
      </c>
      <c r="X23" s="177">
        <f t="shared" si="6"/>
        <v>6.73</v>
      </c>
      <c r="Y23" s="177">
        <f t="shared" si="6"/>
        <v>6.0620000000000003</v>
      </c>
      <c r="Z23" s="177">
        <f t="shared" si="6"/>
        <v>6.1059999999999999</v>
      </c>
      <c r="AA23" s="177">
        <f t="shared" si="6"/>
        <v>7.11</v>
      </c>
      <c r="AB23" s="201"/>
      <c r="AC23" s="154"/>
    </row>
    <row r="24" spans="1:29" s="155" customFormat="1" ht="13.5" thickBot="1" x14ac:dyDescent="0.25">
      <c r="A24" s="180" t="s">
        <v>66</v>
      </c>
      <c r="B24" s="172"/>
      <c r="C24" s="181">
        <f>+'Control Tests'!C15</f>
        <v>0</v>
      </c>
      <c r="D24" s="181">
        <f>+'Control Tests'!D15</f>
        <v>0</v>
      </c>
      <c r="E24" s="181">
        <f>+'Control Tests'!E15</f>
        <v>0</v>
      </c>
      <c r="F24" s="181">
        <f>+'Control Tests'!F15</f>
        <v>0</v>
      </c>
      <c r="G24" s="181">
        <f>+'Control Tests'!G15</f>
        <v>0</v>
      </c>
      <c r="H24" s="181">
        <f>+'Control Tests'!H15</f>
        <v>0</v>
      </c>
      <c r="I24" s="181">
        <f>+'Control Tests'!I15</f>
        <v>0</v>
      </c>
      <c r="J24" s="181">
        <f>+'Control Tests'!J15</f>
        <v>0</v>
      </c>
      <c r="K24" s="181">
        <f>+'Control Tests'!K15</f>
        <v>0</v>
      </c>
      <c r="L24" s="181">
        <f>+'Control Tests'!L15</f>
        <v>0</v>
      </c>
      <c r="M24" s="181">
        <f>+'Control Tests'!M15</f>
        <v>0</v>
      </c>
      <c r="N24" s="181">
        <f>+'Control Tests'!N15</f>
        <v>0</v>
      </c>
      <c r="O24" s="181">
        <f>+'Control Tests'!O15</f>
        <v>0</v>
      </c>
      <c r="P24" s="181">
        <f>+'Control Tests'!P15</f>
        <v>0</v>
      </c>
      <c r="Q24" s="181">
        <f>+'Control Tests'!Q15</f>
        <v>0</v>
      </c>
      <c r="R24" s="181">
        <f>+'Control Tests'!R15</f>
        <v>0</v>
      </c>
      <c r="S24" s="181">
        <f>+'Control Tests'!S15</f>
        <v>0</v>
      </c>
      <c r="T24" s="181">
        <f>+'Control Tests'!T15</f>
        <v>0</v>
      </c>
      <c r="U24" s="181">
        <f>+'Control Tests'!U15</f>
        <v>0</v>
      </c>
      <c r="V24" s="181">
        <f>+'Control Tests'!V15</f>
        <v>0</v>
      </c>
      <c r="W24" s="181">
        <f>+'Control Tests'!W15</f>
        <v>0</v>
      </c>
      <c r="X24" s="181">
        <f>+'Control Tests'!X15</f>
        <v>0</v>
      </c>
      <c r="Y24" s="181">
        <f>+'Control Tests'!Y15</f>
        <v>0</v>
      </c>
      <c r="Z24" s="181">
        <f>+'Control Tests'!Z15</f>
        <v>0</v>
      </c>
      <c r="AA24" s="181">
        <f>+'Control Tests'!AA15</f>
        <v>0</v>
      </c>
      <c r="AB24" s="203">
        <f>SUM(C24:AA24)</f>
        <v>0</v>
      </c>
      <c r="AC24" s="154"/>
    </row>
    <row r="25" spans="1:29" s="159" customFormat="1" ht="16.5" hidden="1" thickBot="1" x14ac:dyDescent="0.35">
      <c r="A25" s="231" t="s">
        <v>94</v>
      </c>
      <c r="B25" s="175"/>
      <c r="C25" s="176">
        <f>IF(C14=0,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D25" s="176">
        <f>IF(D14=0,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E25" s="176">
        <f>IF(E14=0,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F25" s="176">
        <f>IF(F14=0,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G25" s="176">
        <f>IF(G14=0,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H25" s="176" t="str">
        <f>IF(H14=0, "", IF(OR(ISBLANK($D$2),ISBLANK($D$3)),ROUNDUP($F$3*LOOKUP(Formulas!$B$13,Formulas!$F$3:'Formulas'!$F$11,Formulas!$J$3:'Formulas'!$J$11),$J$1+1), ROUNDUP($D$3*LOOKUP(Formulas!$B$13,Formulas!$F$3:'Formulas'!$F$11,Formulas!$J$3:'Formulas'!$J$11),$J$1+1)))</f>
        <v/>
      </c>
      <c r="I25" s="176">
        <f>IF(I14=0,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J25" s="176">
        <f>IF(J14=0,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K25" s="176">
        <f>IF(K14=0,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L25" s="176">
        <f>IF(L14=0,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M25" s="176">
        <f>IF(M14=0,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N25" s="176">
        <f>IF(N14=0,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O25" s="176">
        <f>IF(O14=0,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P25" s="176">
        <f>IF(P14=0,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Q25" s="176">
        <f>IF(Q14=0,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R25" s="176">
        <f>IF(R14=0,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S25" s="176">
        <f>IF(S14=0,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T25" s="176">
        <f>IF(T14=0,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U25" s="176">
        <f>IF(U14=0,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V25" s="176">
        <f>IF(V14=0,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W25" s="176">
        <f>IF(W14=0,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X25" s="176">
        <f>IF(X14=0,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Y25" s="176">
        <f>IF(Y14=0,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Z25" s="176">
        <f>IF(Z14=0,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AA25" s="176">
        <f>IF(AA14=0, "",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AB25" s="232"/>
      <c r="AC25" s="158"/>
    </row>
    <row r="26" spans="1:29" s="155" customFormat="1" ht="15.75" x14ac:dyDescent="0.3">
      <c r="A26" s="182" t="s">
        <v>94</v>
      </c>
      <c r="B26" s="183"/>
      <c r="C26" s="184">
        <f>IF(C14=0,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D26" s="184">
        <f>IF(D14=0,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E26" s="184">
        <f>IF(E14=0,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F26" s="184">
        <f>IF(F14=0,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G26" s="184">
        <f>IF(G14=0,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H26" s="184" t="e">
        <f>IF(H14=0, NA(), IF(OR(ISBLANK($D$2),ISBLANK($D$3)),ROUNDUP($F$3*LOOKUP(Formulas!$B$13,Formulas!$F$3:'Formulas'!$F$11,Formulas!$J$3:'Formulas'!$J$11),$J$1+1), ROUNDUP($D$3*LOOKUP(Formulas!$B$13,Formulas!$F$3:'Formulas'!$F$11,Formulas!$J$3:'Formulas'!$J$11),$J$1+1)))</f>
        <v>#N/A</v>
      </c>
      <c r="I26" s="184">
        <f>IF(I14=0,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J26" s="184">
        <f>IF(J14=0,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K26" s="184">
        <f>IF(K14=0,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L26" s="184">
        <f>IF(L14=0,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M26" s="184">
        <f>IF(M14=0,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N26" s="184">
        <f>IF(N14=0,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O26" s="184">
        <f>IF(O14=0,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P26" s="184">
        <f>IF(P14=0,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Q26" s="184">
        <f>IF(Q14=0,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R26" s="184">
        <f>IF(R14=0,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S26" s="184">
        <f>IF(S14=0,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T26" s="184">
        <f>IF(T14=0,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U26" s="184">
        <f>IF(U14=0,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V26" s="184">
        <f>IF(V14=0,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W26" s="184">
        <f>IF(W14=0,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X26" s="184">
        <f>IF(X14=0,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Y26" s="184">
        <f>IF(Y14=0,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Z26" s="184">
        <f>IF(Z14=0,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AA26" s="184">
        <f>IF(AA14=0, NA(), IF(OR(ISBLANK($D$2),ISBLANK($D$3)),ROUNDUP($F$3*LOOKUP(Formulas!$B$13,Formulas!$F$3:'Formulas'!$F$11,Formulas!$J$3:'Formulas'!$J$11),$J$1+1), ROUNDUP($D$3*LOOKUP(Formulas!$B$13,Formulas!$F$3:'Formulas'!$F$11,Formulas!$J$3:'Formulas'!$J$11),$J$1+1)))</f>
        <v>5.532</v>
      </c>
      <c r="AB26" s="185"/>
      <c r="AC26" s="154"/>
    </row>
    <row r="27" spans="1:29" s="159" customFormat="1" ht="15.75" hidden="1" x14ac:dyDescent="0.3">
      <c r="A27" s="195" t="s">
        <v>95</v>
      </c>
      <c r="B27" s="196"/>
      <c r="C27" s="178">
        <f>IF(C14=0,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D27" s="178">
        <f>IF(D14=0,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E27" s="178">
        <f>IF(E14=0,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F27" s="178">
        <f>IF(F14=0,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G27" s="178">
        <f>IF(G14=0,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H27" s="178" t="str">
        <f>IF(H14=0, "", IF(OR(ISBLANK($D$2),ISBLANK($D$3)),ROUND($F$3*LOOKUP(Formulas!$B$13,Formulas!$F$3:'Formulas'!$F$11,Formulas!$I$3:'Formulas'!$I$11),$J$1+1),ROUND($D$3*LOOKUP(Formulas!$B$13,Formulas!$F$3:'Formulas'!$F$11,Formulas!$I$3:'Formulas'!$I$11),$J$1+1)))</f>
        <v/>
      </c>
      <c r="I27" s="178">
        <f>IF(I14=0,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J27" s="178">
        <f>IF(J14=0,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K27" s="178">
        <f>IF(K14=0,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L27" s="178">
        <f>IF(L14=0,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M27" s="178">
        <f>IF(M14=0,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N27" s="178">
        <f>IF(N14=0,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O27" s="178">
        <f>IF(O14=0,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P27" s="178">
        <f>IF(P14=0,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Q27" s="178">
        <f>IF(Q14=0,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R27" s="178">
        <f>IF(R14=0,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S27" s="178">
        <f>IF(S14=0,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T27" s="178">
        <f>IF(T14=0,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U27" s="178">
        <f>IF(U14=0,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V27" s="178">
        <f>IF(V14=0,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W27" s="178">
        <f>IF(W14=0,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X27" s="178">
        <f>IF(X14=0,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Y27" s="178">
        <f>IF(Y14=0,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Z27" s="178">
        <f>IF(Z14=0,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AA27" s="178">
        <f>IF(AA14=0, "",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AB27" s="179"/>
      <c r="AC27" s="158"/>
    </row>
    <row r="28" spans="1:29" s="155" customFormat="1" ht="15.75" x14ac:dyDescent="0.3">
      <c r="A28" s="186" t="s">
        <v>95</v>
      </c>
      <c r="B28" s="187"/>
      <c r="C28" s="177">
        <f>IF(C14=0,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D28" s="177">
        <f>IF(D14=0,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E28" s="177">
        <f>IF(E14=0,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F28" s="177">
        <f>IF(F14=0,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G28" s="177">
        <f>IF(G14=0,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H28" s="177" t="e">
        <f>IF(H14=0, NA(), IF(OR(ISBLANK($D$2),ISBLANK($D$3)),ROUND($F$3*LOOKUP(Formulas!$B$13,Formulas!$F$3:'Formulas'!$F$11,Formulas!$I$3:'Formulas'!$I$11),$J$1+1),ROUND($D$3*LOOKUP(Formulas!$B$13,Formulas!$F$3:'Formulas'!$F$11,Formulas!$I$3:'Formulas'!$I$11),$J$1+1)))</f>
        <v>#N/A</v>
      </c>
      <c r="I28" s="177">
        <f>IF(I14=0,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J28" s="177">
        <f>IF(J14=0,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K28" s="177">
        <f>IF(K14=0,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L28" s="177">
        <f>IF(L14=0,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M28" s="177">
        <f>IF(M14=0,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N28" s="177">
        <f>IF(N14=0,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O28" s="177">
        <f>IF(O14=0,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P28" s="177">
        <f>IF(P14=0,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Q28" s="177">
        <f>IF(Q14=0,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R28" s="177">
        <f>IF(R14=0,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S28" s="177">
        <f>IF(S14=0,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T28" s="177">
        <f>IF(T14=0,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U28" s="177">
        <f>IF(U14=0,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V28" s="177">
        <f>IF(V14=0,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W28" s="177">
        <f>IF(W14=0,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X28" s="177">
        <f>IF(X14=0,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Y28" s="177">
        <f>IF(Y14=0,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Z28" s="177">
        <f>IF(Z14=0,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AA28" s="177">
        <f>IF(AA14=0, NA(), IF(OR(ISBLANK($D$2),ISBLANK($D$3)),ROUND($F$3*LOOKUP(Formulas!$B$13,Formulas!$F$3:'Formulas'!$F$11,Formulas!$I$3:'Formulas'!$I$11),$J$1+1),ROUND($D$3*LOOKUP(Formulas!$B$13,Formulas!$F$3:'Formulas'!$F$11,Formulas!$I$3:'Formulas'!$I$11),$J$1+1)))</f>
        <v>0</v>
      </c>
      <c r="AB28" s="165"/>
      <c r="AC28" s="154"/>
    </row>
    <row r="29" spans="1:29" s="159" customFormat="1" hidden="1" x14ac:dyDescent="0.2">
      <c r="A29" s="169" t="s">
        <v>93</v>
      </c>
      <c r="B29" s="170"/>
      <c r="C29" s="178">
        <f t="shared" ref="C29:AA29" si="7">IF(C14=0, "", IF(OR(ISBLANK($D$2), ISBLANK($D$3)), ROUND($F$3,$J$1), ROUND($D$3,$J$1)))</f>
        <v>2.62</v>
      </c>
      <c r="D29" s="178">
        <f t="shared" si="7"/>
        <v>2.62</v>
      </c>
      <c r="E29" s="178">
        <f t="shared" si="7"/>
        <v>2.62</v>
      </c>
      <c r="F29" s="178">
        <f t="shared" si="7"/>
        <v>2.62</v>
      </c>
      <c r="G29" s="178">
        <f t="shared" si="7"/>
        <v>2.62</v>
      </c>
      <c r="H29" s="178" t="str">
        <f t="shared" si="7"/>
        <v/>
      </c>
      <c r="I29" s="178">
        <f t="shared" si="7"/>
        <v>2.62</v>
      </c>
      <c r="J29" s="178">
        <f t="shared" si="7"/>
        <v>2.62</v>
      </c>
      <c r="K29" s="178">
        <f t="shared" si="7"/>
        <v>2.62</v>
      </c>
      <c r="L29" s="178">
        <f t="shared" si="7"/>
        <v>2.62</v>
      </c>
      <c r="M29" s="178">
        <f t="shared" si="7"/>
        <v>2.62</v>
      </c>
      <c r="N29" s="178">
        <f t="shared" si="7"/>
        <v>2.62</v>
      </c>
      <c r="O29" s="178">
        <f t="shared" si="7"/>
        <v>2.62</v>
      </c>
      <c r="P29" s="178">
        <f t="shared" si="7"/>
        <v>2.62</v>
      </c>
      <c r="Q29" s="178">
        <f t="shared" si="7"/>
        <v>2.62</v>
      </c>
      <c r="R29" s="178">
        <f t="shared" si="7"/>
        <v>2.62</v>
      </c>
      <c r="S29" s="178">
        <f t="shared" si="7"/>
        <v>2.62</v>
      </c>
      <c r="T29" s="178">
        <f t="shared" si="7"/>
        <v>2.62</v>
      </c>
      <c r="U29" s="178">
        <f t="shared" si="7"/>
        <v>2.62</v>
      </c>
      <c r="V29" s="178">
        <f t="shared" si="7"/>
        <v>2.62</v>
      </c>
      <c r="W29" s="178">
        <f t="shared" si="7"/>
        <v>2.62</v>
      </c>
      <c r="X29" s="178">
        <f t="shared" si="7"/>
        <v>2.62</v>
      </c>
      <c r="Y29" s="178">
        <f t="shared" si="7"/>
        <v>2.62</v>
      </c>
      <c r="Z29" s="178">
        <f t="shared" si="7"/>
        <v>2.62</v>
      </c>
      <c r="AA29" s="178">
        <f t="shared" si="7"/>
        <v>2.62</v>
      </c>
      <c r="AB29" s="179"/>
      <c r="AC29" s="158"/>
    </row>
    <row r="30" spans="1:29" s="155" customFormat="1" x14ac:dyDescent="0.2">
      <c r="A30" s="87" t="s">
        <v>93</v>
      </c>
      <c r="B30" s="172"/>
      <c r="C30" s="177">
        <f>IF(C14=0, NA(), IF(OR(ISBLANK($D$2), ISBLANK($D$3)), ROUND($F$3,$J$1), ROUND($D$3,$J$1)))</f>
        <v>2.62</v>
      </c>
      <c r="D30" s="177">
        <f t="shared" ref="D30:AA30" si="8">IF(D14=0, NA(), IF(OR(ISBLANK($D$2), ISBLANK($D$3)), ROUND($F$3,$J$1), ROUND($D$3,$J$1)))</f>
        <v>2.62</v>
      </c>
      <c r="E30" s="177">
        <f t="shared" si="8"/>
        <v>2.62</v>
      </c>
      <c r="F30" s="177">
        <f t="shared" si="8"/>
        <v>2.62</v>
      </c>
      <c r="G30" s="177">
        <f t="shared" si="8"/>
        <v>2.62</v>
      </c>
      <c r="H30" s="177" t="e">
        <f t="shared" si="8"/>
        <v>#N/A</v>
      </c>
      <c r="I30" s="177">
        <f t="shared" si="8"/>
        <v>2.62</v>
      </c>
      <c r="J30" s="177">
        <f t="shared" si="8"/>
        <v>2.62</v>
      </c>
      <c r="K30" s="177">
        <f t="shared" si="8"/>
        <v>2.62</v>
      </c>
      <c r="L30" s="177">
        <f t="shared" si="8"/>
        <v>2.62</v>
      </c>
      <c r="M30" s="177">
        <f t="shared" si="8"/>
        <v>2.62</v>
      </c>
      <c r="N30" s="177">
        <f t="shared" si="8"/>
        <v>2.62</v>
      </c>
      <c r="O30" s="177">
        <f t="shared" si="8"/>
        <v>2.62</v>
      </c>
      <c r="P30" s="177">
        <f t="shared" si="8"/>
        <v>2.62</v>
      </c>
      <c r="Q30" s="177">
        <f t="shared" si="8"/>
        <v>2.62</v>
      </c>
      <c r="R30" s="177">
        <f t="shared" si="8"/>
        <v>2.62</v>
      </c>
      <c r="S30" s="177">
        <f t="shared" si="8"/>
        <v>2.62</v>
      </c>
      <c r="T30" s="177">
        <f t="shared" si="8"/>
        <v>2.62</v>
      </c>
      <c r="U30" s="177">
        <f t="shared" si="8"/>
        <v>2.62</v>
      </c>
      <c r="V30" s="177">
        <f t="shared" si="8"/>
        <v>2.62</v>
      </c>
      <c r="W30" s="177">
        <f t="shared" si="8"/>
        <v>2.62</v>
      </c>
      <c r="X30" s="177">
        <f t="shared" si="8"/>
        <v>2.62</v>
      </c>
      <c r="Y30" s="177">
        <f t="shared" si="8"/>
        <v>2.62</v>
      </c>
      <c r="Z30" s="177">
        <f t="shared" si="8"/>
        <v>2.62</v>
      </c>
      <c r="AA30" s="177">
        <f t="shared" si="8"/>
        <v>2.62</v>
      </c>
      <c r="AB30" s="201"/>
      <c r="AC30" s="154"/>
    </row>
    <row r="31" spans="1:29" s="160" customFormat="1" hidden="1" x14ac:dyDescent="0.2">
      <c r="A31" s="169" t="s">
        <v>75</v>
      </c>
      <c r="B31" s="170"/>
      <c r="C31" s="178">
        <f t="shared" ref="C31:AA31" si="9">IF(C14=0, "", C12)</f>
        <v>3.0699999999999994</v>
      </c>
      <c r="D31" s="178">
        <f t="shared" si="9"/>
        <v>2.9799999999999995</v>
      </c>
      <c r="E31" s="178">
        <f t="shared" si="9"/>
        <v>4.3100000000000005</v>
      </c>
      <c r="F31" s="178">
        <f t="shared" si="9"/>
        <v>3.37</v>
      </c>
      <c r="G31" s="178">
        <f t="shared" si="9"/>
        <v>1.92</v>
      </c>
      <c r="H31" s="178" t="str">
        <f t="shared" si="9"/>
        <v/>
      </c>
      <c r="I31" s="178">
        <f t="shared" si="9"/>
        <v>2.5900000000000007</v>
      </c>
      <c r="J31" s="178">
        <f t="shared" si="9"/>
        <v>2.1399999999999997</v>
      </c>
      <c r="K31" s="178">
        <f t="shared" si="9"/>
        <v>3.1100000000000012</v>
      </c>
      <c r="L31" s="178">
        <f t="shared" si="9"/>
        <v>1.1499999999999995</v>
      </c>
      <c r="M31" s="178">
        <f t="shared" si="9"/>
        <v>1.2800000000000011</v>
      </c>
      <c r="N31" s="178">
        <f t="shared" si="9"/>
        <v>3.4099999999999993</v>
      </c>
      <c r="O31" s="178">
        <f t="shared" si="9"/>
        <v>3.2199999999999998</v>
      </c>
      <c r="P31" s="178">
        <f t="shared" si="9"/>
        <v>1.8500000000000005</v>
      </c>
      <c r="Q31" s="178">
        <f t="shared" si="9"/>
        <v>3.0600000000000005</v>
      </c>
      <c r="R31" s="178">
        <f t="shared" si="9"/>
        <v>1.08</v>
      </c>
      <c r="S31" s="178">
        <f t="shared" si="9"/>
        <v>3.29</v>
      </c>
      <c r="T31" s="178">
        <f t="shared" si="9"/>
        <v>1.4000000000000004</v>
      </c>
      <c r="U31" s="178">
        <f t="shared" si="9"/>
        <v>3.33</v>
      </c>
      <c r="V31" s="178">
        <f t="shared" si="9"/>
        <v>3.2700000000000014</v>
      </c>
      <c r="W31" s="178">
        <f t="shared" si="9"/>
        <v>3.2799999999999994</v>
      </c>
      <c r="X31" s="178">
        <f t="shared" si="9"/>
        <v>2.1099999999999994</v>
      </c>
      <c r="Y31" s="178">
        <f t="shared" si="9"/>
        <v>3.0600000000000005</v>
      </c>
      <c r="Z31" s="178">
        <f t="shared" si="9"/>
        <v>3.4399999999999995</v>
      </c>
      <c r="AA31" s="178">
        <f t="shared" si="9"/>
        <v>1.0499999999999998</v>
      </c>
      <c r="AB31" s="179"/>
    </row>
    <row r="32" spans="1:29" s="197" customFormat="1" x14ac:dyDescent="0.2">
      <c r="A32" s="87" t="s">
        <v>75</v>
      </c>
      <c r="B32" s="172"/>
      <c r="C32" s="177">
        <f t="shared" ref="C32:AA32" si="10">IF(C14=0, NA(), C12)</f>
        <v>3.0699999999999994</v>
      </c>
      <c r="D32" s="177">
        <f t="shared" si="10"/>
        <v>2.9799999999999995</v>
      </c>
      <c r="E32" s="177">
        <f t="shared" si="10"/>
        <v>4.3100000000000005</v>
      </c>
      <c r="F32" s="177">
        <f t="shared" si="10"/>
        <v>3.37</v>
      </c>
      <c r="G32" s="177">
        <f t="shared" si="10"/>
        <v>1.92</v>
      </c>
      <c r="H32" s="177" t="e">
        <f t="shared" si="10"/>
        <v>#N/A</v>
      </c>
      <c r="I32" s="177">
        <f t="shared" si="10"/>
        <v>2.5900000000000007</v>
      </c>
      <c r="J32" s="177">
        <f t="shared" si="10"/>
        <v>2.1399999999999997</v>
      </c>
      <c r="K32" s="177">
        <f t="shared" si="10"/>
        <v>3.1100000000000012</v>
      </c>
      <c r="L32" s="177">
        <f t="shared" si="10"/>
        <v>1.1499999999999995</v>
      </c>
      <c r="M32" s="177">
        <f t="shared" si="10"/>
        <v>1.2800000000000011</v>
      </c>
      <c r="N32" s="177">
        <f t="shared" si="10"/>
        <v>3.4099999999999993</v>
      </c>
      <c r="O32" s="177">
        <f t="shared" si="10"/>
        <v>3.2199999999999998</v>
      </c>
      <c r="P32" s="177">
        <f t="shared" si="10"/>
        <v>1.8500000000000005</v>
      </c>
      <c r="Q32" s="177">
        <f t="shared" si="10"/>
        <v>3.0600000000000005</v>
      </c>
      <c r="R32" s="177">
        <f t="shared" si="10"/>
        <v>1.08</v>
      </c>
      <c r="S32" s="177">
        <f t="shared" si="10"/>
        <v>3.29</v>
      </c>
      <c r="T32" s="177">
        <f t="shared" si="10"/>
        <v>1.4000000000000004</v>
      </c>
      <c r="U32" s="177">
        <f t="shared" si="10"/>
        <v>3.33</v>
      </c>
      <c r="V32" s="177">
        <f t="shared" si="10"/>
        <v>3.2700000000000014</v>
      </c>
      <c r="W32" s="177">
        <f t="shared" si="10"/>
        <v>3.2799999999999994</v>
      </c>
      <c r="X32" s="177">
        <f t="shared" si="10"/>
        <v>2.1099999999999994</v>
      </c>
      <c r="Y32" s="177">
        <f t="shared" si="10"/>
        <v>3.0600000000000005</v>
      </c>
      <c r="Z32" s="177">
        <f t="shared" si="10"/>
        <v>3.4399999999999995</v>
      </c>
      <c r="AA32" s="177">
        <f t="shared" si="10"/>
        <v>1.0499999999999998</v>
      </c>
      <c r="AB32" s="165"/>
    </row>
    <row r="33" spans="1:28" ht="13.5" thickBot="1" x14ac:dyDescent="0.25">
      <c r="A33" s="188" t="s">
        <v>66</v>
      </c>
      <c r="B33" s="189"/>
      <c r="C33" s="190">
        <f>+'Control Tests'!C23</f>
        <v>0</v>
      </c>
      <c r="D33" s="190">
        <f>+'Control Tests'!D23</f>
        <v>0</v>
      </c>
      <c r="E33" s="190">
        <f>+'Control Tests'!E23</f>
        <v>0</v>
      </c>
      <c r="F33" s="190">
        <f>+'Control Tests'!F23</f>
        <v>0</v>
      </c>
      <c r="G33" s="190">
        <f>+'Control Tests'!G23</f>
        <v>0</v>
      </c>
      <c r="H33" s="190">
        <f>+'Control Tests'!H23</f>
        <v>0</v>
      </c>
      <c r="I33" s="190">
        <f>+'Control Tests'!I23</f>
        <v>0</v>
      </c>
      <c r="J33" s="190">
        <f>+'Control Tests'!J23</f>
        <v>0</v>
      </c>
      <c r="K33" s="190">
        <f>+'Control Tests'!K23</f>
        <v>0</v>
      </c>
      <c r="L33" s="190">
        <f>+'Control Tests'!L23</f>
        <v>0</v>
      </c>
      <c r="M33" s="190">
        <f>+'Control Tests'!M23</f>
        <v>0</v>
      </c>
      <c r="N33" s="190">
        <f>+'Control Tests'!N23</f>
        <v>0</v>
      </c>
      <c r="O33" s="190">
        <f>+'Control Tests'!O23</f>
        <v>0</v>
      </c>
      <c r="P33" s="190">
        <f>+'Control Tests'!P23</f>
        <v>0</v>
      </c>
      <c r="Q33" s="190">
        <f>+'Control Tests'!Q23</f>
        <v>0</v>
      </c>
      <c r="R33" s="190">
        <f>+'Control Tests'!R23</f>
        <v>0</v>
      </c>
      <c r="S33" s="190">
        <f>+'Control Tests'!S23</f>
        <v>0</v>
      </c>
      <c r="T33" s="190">
        <f>+'Control Tests'!T23</f>
        <v>0</v>
      </c>
      <c r="U33" s="190">
        <f>+'Control Tests'!U23</f>
        <v>0</v>
      </c>
      <c r="V33" s="190">
        <f>+'Control Tests'!V23</f>
        <v>0</v>
      </c>
      <c r="W33" s="190">
        <f>+'Control Tests'!W23</f>
        <v>0</v>
      </c>
      <c r="X33" s="190">
        <f>+'Control Tests'!X23</f>
        <v>0</v>
      </c>
      <c r="Y33" s="190">
        <f>+'Control Tests'!Y23</f>
        <v>0</v>
      </c>
      <c r="Z33" s="190">
        <f>+'Control Tests'!Z23</f>
        <v>0</v>
      </c>
      <c r="AA33" s="190">
        <f>+'Control Tests'!AA23</f>
        <v>0</v>
      </c>
      <c r="AB33" s="191">
        <f>SUM(C33:AA33)</f>
        <v>0</v>
      </c>
    </row>
    <row r="34" spans="1:28" ht="13.5" thickTop="1" x14ac:dyDescent="0.2">
      <c r="A34" s="1"/>
      <c r="B34" s="5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4"/>
    </row>
    <row r="35" spans="1:28" ht="11.25" customHeight="1" x14ac:dyDescent="0.2">
      <c r="A35" s="1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4"/>
    </row>
    <row r="36" spans="1:28" hidden="1" x14ac:dyDescent="0.2">
      <c r="A36" s="1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4"/>
    </row>
    <row r="37" spans="1:28" ht="13.5" customHeight="1" x14ac:dyDescent="0.2">
      <c r="A37" s="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4"/>
    </row>
    <row r="38" spans="1:28" x14ac:dyDescent="0.2">
      <c r="A38" s="1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4"/>
    </row>
    <row r="39" spans="1:28" x14ac:dyDescent="0.2">
      <c r="A39" s="1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4"/>
    </row>
    <row r="40" spans="1:28" x14ac:dyDescent="0.2">
      <c r="A40" s="1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4"/>
    </row>
    <row r="41" spans="1:28" x14ac:dyDescent="0.2">
      <c r="A41" s="1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4"/>
    </row>
    <row r="42" spans="1:28" x14ac:dyDescent="0.2">
      <c r="A42" s="1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4"/>
    </row>
    <row r="43" spans="1:28" x14ac:dyDescent="0.2">
      <c r="A43" s="1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4"/>
    </row>
    <row r="44" spans="1:28" x14ac:dyDescent="0.2">
      <c r="A44" s="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4"/>
    </row>
    <row r="45" spans="1:28" x14ac:dyDescent="0.2">
      <c r="A45" s="1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4"/>
    </row>
    <row r="46" spans="1:28" x14ac:dyDescent="0.2">
      <c r="A46" s="1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4"/>
    </row>
    <row r="47" spans="1:28" ht="12.75" customHeight="1" x14ac:dyDescent="0.2">
      <c r="A47" s="1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4"/>
    </row>
    <row r="48" spans="1:28" x14ac:dyDescent="0.2">
      <c r="A48" s="1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4"/>
    </row>
    <row r="49" spans="1:28" ht="12.75" customHeight="1" x14ac:dyDescent="0.2">
      <c r="A49" s="1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4"/>
    </row>
    <row r="50" spans="1:28" x14ac:dyDescent="0.2">
      <c r="A50" s="1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4"/>
    </row>
    <row r="51" spans="1:28" ht="13.5" hidden="1" customHeight="1" x14ac:dyDescent="0.2">
      <c r="A51" s="1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4"/>
    </row>
    <row r="52" spans="1:28" ht="12.75" hidden="1" customHeight="1" x14ac:dyDescent="0.2">
      <c r="A52" s="1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4"/>
    </row>
    <row r="53" spans="1:28" ht="15.75" hidden="1" customHeight="1" x14ac:dyDescent="0.2">
      <c r="A53" s="1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4"/>
    </row>
    <row r="54" spans="1:28" ht="14.25" customHeight="1" x14ac:dyDescent="0.2">
      <c r="A54" s="1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4"/>
    </row>
    <row r="55" spans="1:28" ht="12.75" customHeight="1" x14ac:dyDescent="0.2">
      <c r="A55" s="1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4"/>
    </row>
    <row r="56" spans="1:28" ht="42" customHeight="1" x14ac:dyDescent="0.2">
      <c r="A56" s="1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4"/>
    </row>
    <row r="57" spans="1:28" ht="42" customHeight="1" x14ac:dyDescent="0.2">
      <c r="A57" s="1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4"/>
    </row>
    <row r="58" spans="1:28" ht="42" customHeight="1" x14ac:dyDescent="0.2">
      <c r="AB58" s="4"/>
    </row>
    <row r="59" spans="1:28" x14ac:dyDescent="0.2">
      <c r="AB59" s="4"/>
    </row>
    <row r="60" spans="1:28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3"/>
    </row>
  </sheetData>
  <mergeCells count="1">
    <mergeCell ref="G1:H1"/>
  </mergeCells>
  <phoneticPr fontId="3" type="noConversion"/>
  <printOptions horizontalCentered="1" verticalCentered="1"/>
  <pageMargins left="0.2" right="0.2" top="0.39" bottom="0.41" header="0.5" footer="0.21"/>
  <pageSetup scale="65" orientation="landscape" horizont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61" r:id="rId4" name="Check Box 37">
              <controlPr defaultSize="0" autoFill="0" autoLine="0" autoPict="0">
                <anchor moveWithCells="1">
                  <from>
                    <xdr:col>5</xdr:col>
                    <xdr:colOff>152400</xdr:colOff>
                    <xdr:row>12</xdr:row>
                    <xdr:rowOff>0</xdr:rowOff>
                  </from>
                  <to>
                    <xdr:col>5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5" name="Check Box 38">
              <controlPr defaultSize="0" autoFill="0" autoLine="0" autoPict="0">
                <anchor moveWithCells="1">
                  <from>
                    <xdr:col>4</xdr:col>
                    <xdr:colOff>152400</xdr:colOff>
                    <xdr:row>12</xdr:row>
                    <xdr:rowOff>0</xdr:rowOff>
                  </from>
                  <to>
                    <xdr:col>4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6" name="Check Box 39">
              <controlPr defaultSize="0" autoFill="0" autoLine="0" autoPict="0">
                <anchor moveWithCells="1">
                  <from>
                    <xdr:col>3</xdr:col>
                    <xdr:colOff>152400</xdr:colOff>
                    <xdr:row>12</xdr:row>
                    <xdr:rowOff>0</xdr:rowOff>
                  </from>
                  <to>
                    <xdr:col>3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7" name="Check Box 40">
              <controlPr defaultSize="0" autoFill="0" autoLine="0" autoPict="0">
                <anchor moveWithCells="1">
                  <from>
                    <xdr:col>2</xdr:col>
                    <xdr:colOff>190500</xdr:colOff>
                    <xdr:row>12</xdr:row>
                    <xdr:rowOff>0</xdr:rowOff>
                  </from>
                  <to>
                    <xdr:col>2</xdr:col>
                    <xdr:colOff>495300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8" name="Check Box 41">
              <controlPr defaultSize="0" autoFill="0" autoLine="0" autoPict="0">
                <anchor moveWithCells="1">
                  <from>
                    <xdr:col>6</xdr:col>
                    <xdr:colOff>180975</xdr:colOff>
                    <xdr:row>12</xdr:row>
                    <xdr:rowOff>0</xdr:rowOff>
                  </from>
                  <to>
                    <xdr:col>6</xdr:col>
                    <xdr:colOff>485775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9" name="Check Box 42">
              <controlPr defaultSize="0" autoFill="0" autoLine="0" autoPict="0">
                <anchor moveWithCells="1">
                  <from>
                    <xdr:col>7</xdr:col>
                    <xdr:colOff>152400</xdr:colOff>
                    <xdr:row>12</xdr:row>
                    <xdr:rowOff>0</xdr:rowOff>
                  </from>
                  <to>
                    <xdr:col>7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0" name="Check Box 43">
              <controlPr defaultSize="0" autoFill="0" autoLine="0" autoPict="0">
                <anchor moveWithCells="1">
                  <from>
                    <xdr:col>8</xdr:col>
                    <xdr:colOff>152400</xdr:colOff>
                    <xdr:row>12</xdr:row>
                    <xdr:rowOff>0</xdr:rowOff>
                  </from>
                  <to>
                    <xdr:col>8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11" name="Check Box 44">
              <controlPr defaultSize="0" autoFill="0" autoLine="0" autoPict="0">
                <anchor moveWithCells="1">
                  <from>
                    <xdr:col>9</xdr:col>
                    <xdr:colOff>142875</xdr:colOff>
                    <xdr:row>12</xdr:row>
                    <xdr:rowOff>0</xdr:rowOff>
                  </from>
                  <to>
                    <xdr:col>9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12" name="Check Box 45">
              <controlPr defaultSize="0" autoFill="0" autoLine="0" autoPict="0">
                <anchor moveWithCells="1">
                  <from>
                    <xdr:col>10</xdr:col>
                    <xdr:colOff>142875</xdr:colOff>
                    <xdr:row>12</xdr:row>
                    <xdr:rowOff>0</xdr:rowOff>
                  </from>
                  <to>
                    <xdr:col>10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13" name="Check Box 46">
              <controlPr defaultSize="0" autoFill="0" autoLine="0" autoPict="0">
                <anchor moveWithCells="1">
                  <from>
                    <xdr:col>11</xdr:col>
                    <xdr:colOff>152400</xdr:colOff>
                    <xdr:row>12</xdr:row>
                    <xdr:rowOff>0</xdr:rowOff>
                  </from>
                  <to>
                    <xdr:col>11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14" name="Check Box 47">
              <controlPr defaultSize="0" autoFill="0" autoLine="0" autoPict="0">
                <anchor moveWithCells="1">
                  <from>
                    <xdr:col>12</xdr:col>
                    <xdr:colOff>142875</xdr:colOff>
                    <xdr:row>12</xdr:row>
                    <xdr:rowOff>0</xdr:rowOff>
                  </from>
                  <to>
                    <xdr:col>12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15" name="Check Box 48">
              <controlPr defaultSize="0" autoFill="0" autoLine="0" autoPict="0">
                <anchor moveWithCells="1">
                  <from>
                    <xdr:col>13</xdr:col>
                    <xdr:colOff>142875</xdr:colOff>
                    <xdr:row>12</xdr:row>
                    <xdr:rowOff>0</xdr:rowOff>
                  </from>
                  <to>
                    <xdr:col>13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16" name="Check Box 49">
              <controlPr defaultSize="0" autoFill="0" autoLine="0" autoPict="0">
                <anchor moveWithCells="1">
                  <from>
                    <xdr:col>14</xdr:col>
                    <xdr:colOff>152400</xdr:colOff>
                    <xdr:row>12</xdr:row>
                    <xdr:rowOff>0</xdr:rowOff>
                  </from>
                  <to>
                    <xdr:col>14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17" name="Check Box 50">
              <controlPr defaultSize="0" autoFill="0" autoLine="0" autoPict="0">
                <anchor moveWithCells="1">
                  <from>
                    <xdr:col>15</xdr:col>
                    <xdr:colOff>142875</xdr:colOff>
                    <xdr:row>12</xdr:row>
                    <xdr:rowOff>0</xdr:rowOff>
                  </from>
                  <to>
                    <xdr:col>15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18" name="Check Box 51">
              <controlPr defaultSize="0" autoFill="0" autoLine="0" autoPict="0">
                <anchor moveWithCells="1">
                  <from>
                    <xdr:col>16</xdr:col>
                    <xdr:colOff>161925</xdr:colOff>
                    <xdr:row>12</xdr:row>
                    <xdr:rowOff>0</xdr:rowOff>
                  </from>
                  <to>
                    <xdr:col>16</xdr:col>
                    <xdr:colOff>466725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19" name="Check Box 52">
              <controlPr defaultSize="0" autoFill="0" autoLine="0" autoPict="0">
                <anchor moveWithCells="1">
                  <from>
                    <xdr:col>17</xdr:col>
                    <xdr:colOff>152400</xdr:colOff>
                    <xdr:row>12</xdr:row>
                    <xdr:rowOff>0</xdr:rowOff>
                  </from>
                  <to>
                    <xdr:col>17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20" name="Check Box 53">
              <controlPr defaultSize="0" autoFill="0" autoLine="0" autoPict="0">
                <anchor moveWithCells="1">
                  <from>
                    <xdr:col>18</xdr:col>
                    <xdr:colOff>142875</xdr:colOff>
                    <xdr:row>12</xdr:row>
                    <xdr:rowOff>0</xdr:rowOff>
                  </from>
                  <to>
                    <xdr:col>18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21" name="Check Box 54">
              <controlPr defaultSize="0" autoFill="0" autoLine="0" autoPict="0">
                <anchor moveWithCells="1">
                  <from>
                    <xdr:col>19</xdr:col>
                    <xdr:colOff>142875</xdr:colOff>
                    <xdr:row>12</xdr:row>
                    <xdr:rowOff>0</xdr:rowOff>
                  </from>
                  <to>
                    <xdr:col>19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22" name="Check Box 55">
              <controlPr defaultSize="0" autoFill="0" autoLine="0" autoPict="0">
                <anchor moveWithCells="1">
                  <from>
                    <xdr:col>20</xdr:col>
                    <xdr:colOff>152400</xdr:colOff>
                    <xdr:row>12</xdr:row>
                    <xdr:rowOff>0</xdr:rowOff>
                  </from>
                  <to>
                    <xdr:col>20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23" name="Check Box 56">
              <controlPr defaultSize="0" autoFill="0" autoLine="0" autoPict="0">
                <anchor moveWithCells="1">
                  <from>
                    <xdr:col>21</xdr:col>
                    <xdr:colOff>142875</xdr:colOff>
                    <xdr:row>12</xdr:row>
                    <xdr:rowOff>0</xdr:rowOff>
                  </from>
                  <to>
                    <xdr:col>21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24" name="Check Box 57">
              <controlPr defaultSize="0" autoFill="0" autoLine="0" autoPict="0">
                <anchor moveWithCells="1">
                  <from>
                    <xdr:col>22</xdr:col>
                    <xdr:colOff>152400</xdr:colOff>
                    <xdr:row>12</xdr:row>
                    <xdr:rowOff>0</xdr:rowOff>
                  </from>
                  <to>
                    <xdr:col>22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25" name="Check Box 58">
              <controlPr defaultSize="0" autoFill="0" autoLine="0" autoPict="0">
                <anchor moveWithCells="1">
                  <from>
                    <xdr:col>23</xdr:col>
                    <xdr:colOff>152400</xdr:colOff>
                    <xdr:row>12</xdr:row>
                    <xdr:rowOff>0</xdr:rowOff>
                  </from>
                  <to>
                    <xdr:col>23</xdr:col>
                    <xdr:colOff>457200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26" name="Check Box 59">
              <controlPr defaultSize="0" autoFill="0" autoLine="0" autoPict="0">
                <anchor moveWithCells="1">
                  <from>
                    <xdr:col>24</xdr:col>
                    <xdr:colOff>142875</xdr:colOff>
                    <xdr:row>12</xdr:row>
                    <xdr:rowOff>0</xdr:rowOff>
                  </from>
                  <to>
                    <xdr:col>24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27" name="Check Box 60">
              <controlPr defaultSize="0" autoFill="0" autoLine="0" autoPict="0">
                <anchor moveWithCells="1">
                  <from>
                    <xdr:col>25</xdr:col>
                    <xdr:colOff>142875</xdr:colOff>
                    <xdr:row>12</xdr:row>
                    <xdr:rowOff>0</xdr:rowOff>
                  </from>
                  <to>
                    <xdr:col>25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8" name="Check Box 61">
              <controlPr defaultSize="0" autoFill="0" autoLine="0" autoPict="0">
                <anchor moveWithCells="1">
                  <from>
                    <xdr:col>26</xdr:col>
                    <xdr:colOff>142875</xdr:colOff>
                    <xdr:row>12</xdr:row>
                    <xdr:rowOff>0</xdr:rowOff>
                  </from>
                  <to>
                    <xdr:col>26</xdr:col>
                    <xdr:colOff>447675</xdr:colOff>
                    <xdr:row>14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A2" sqref="A2"/>
    </sheetView>
  </sheetViews>
  <sheetFormatPr defaultRowHeight="12.75" x14ac:dyDescent="0.2"/>
  <cols>
    <col min="3" max="3" width="10" bestFit="1" customWidth="1"/>
  </cols>
  <sheetData>
    <row r="1" spans="1:7" x14ac:dyDescent="0.2">
      <c r="G1" t="s">
        <v>103</v>
      </c>
    </row>
    <row r="2" spans="1:7" x14ac:dyDescent="0.2">
      <c r="A2">
        <f>+Xbar_R!C6</f>
        <v>8.7799999999999994</v>
      </c>
      <c r="B2">
        <v>0</v>
      </c>
      <c r="C2">
        <v>7</v>
      </c>
      <c r="D2">
        <f t="shared" ref="D2:D8" si="0">+ROUND($A$2,B2)</f>
        <v>9</v>
      </c>
      <c r="E2">
        <f t="shared" ref="E2:E8" si="1">+IF(D2=$A$2, 0, 1)</f>
        <v>1</v>
      </c>
      <c r="G2">
        <f>+MAX(E10,E21)</f>
        <v>2</v>
      </c>
    </row>
    <row r="3" spans="1:7" x14ac:dyDescent="0.2">
      <c r="B3">
        <v>1</v>
      </c>
      <c r="C3">
        <v>6</v>
      </c>
      <c r="D3">
        <f t="shared" si="0"/>
        <v>8.8000000000000007</v>
      </c>
      <c r="E3">
        <f t="shared" si="1"/>
        <v>1</v>
      </c>
    </row>
    <row r="4" spans="1:7" x14ac:dyDescent="0.2">
      <c r="B4">
        <v>2</v>
      </c>
      <c r="C4">
        <v>5</v>
      </c>
      <c r="D4">
        <f t="shared" si="0"/>
        <v>8.7799999999999994</v>
      </c>
      <c r="E4">
        <f t="shared" si="1"/>
        <v>0</v>
      </c>
    </row>
    <row r="5" spans="1:7" x14ac:dyDescent="0.2">
      <c r="B5">
        <v>3</v>
      </c>
      <c r="C5">
        <v>4</v>
      </c>
      <c r="D5">
        <f t="shared" si="0"/>
        <v>8.7799999999999994</v>
      </c>
      <c r="E5">
        <f t="shared" si="1"/>
        <v>0</v>
      </c>
    </row>
    <row r="6" spans="1:7" x14ac:dyDescent="0.2">
      <c r="B6">
        <v>4</v>
      </c>
      <c r="C6">
        <v>3</v>
      </c>
      <c r="D6">
        <f t="shared" si="0"/>
        <v>8.7799999999999994</v>
      </c>
      <c r="E6">
        <f t="shared" si="1"/>
        <v>0</v>
      </c>
    </row>
    <row r="7" spans="1:7" x14ac:dyDescent="0.2">
      <c r="B7">
        <v>5</v>
      </c>
      <c r="C7">
        <v>2</v>
      </c>
      <c r="D7">
        <f t="shared" si="0"/>
        <v>8.7799999999999994</v>
      </c>
      <c r="E7">
        <f t="shared" si="1"/>
        <v>0</v>
      </c>
    </row>
    <row r="8" spans="1:7" x14ac:dyDescent="0.2">
      <c r="B8">
        <v>6</v>
      </c>
      <c r="C8">
        <v>1</v>
      </c>
      <c r="D8">
        <f t="shared" si="0"/>
        <v>8.7799999999999994</v>
      </c>
      <c r="E8">
        <f t="shared" si="1"/>
        <v>0</v>
      </c>
    </row>
    <row r="10" spans="1:7" x14ac:dyDescent="0.2">
      <c r="E10">
        <f>+SUM(E2:E8)</f>
        <v>2</v>
      </c>
    </row>
    <row r="13" spans="1:7" x14ac:dyDescent="0.2">
      <c r="A13">
        <f>+Xbar_R!E9</f>
        <v>8.98</v>
      </c>
      <c r="B13">
        <v>0</v>
      </c>
      <c r="C13">
        <v>7</v>
      </c>
      <c r="D13">
        <f t="shared" ref="D13:D19" si="2">+ROUND($A$13,B13)</f>
        <v>9</v>
      </c>
      <c r="E13">
        <f t="shared" ref="E13:E19" si="3">+IF(D13=$A$13, 0, 1)</f>
        <v>1</v>
      </c>
    </row>
    <row r="14" spans="1:7" x14ac:dyDescent="0.2">
      <c r="B14">
        <v>1</v>
      </c>
      <c r="C14">
        <v>6</v>
      </c>
      <c r="D14">
        <f t="shared" si="2"/>
        <v>9</v>
      </c>
      <c r="E14">
        <f t="shared" si="3"/>
        <v>1</v>
      </c>
    </row>
    <row r="15" spans="1:7" x14ac:dyDescent="0.2">
      <c r="B15">
        <v>2</v>
      </c>
      <c r="C15">
        <v>5</v>
      </c>
      <c r="D15">
        <f t="shared" si="2"/>
        <v>8.98</v>
      </c>
      <c r="E15">
        <f t="shared" si="3"/>
        <v>0</v>
      </c>
    </row>
    <row r="16" spans="1:7" x14ac:dyDescent="0.2">
      <c r="B16">
        <v>3</v>
      </c>
      <c r="C16">
        <v>4</v>
      </c>
      <c r="D16">
        <f t="shared" si="2"/>
        <v>8.98</v>
      </c>
      <c r="E16">
        <f t="shared" si="3"/>
        <v>0</v>
      </c>
    </row>
    <row r="17" spans="2:5" x14ac:dyDescent="0.2">
      <c r="B17">
        <v>4</v>
      </c>
      <c r="C17">
        <v>3</v>
      </c>
      <c r="D17">
        <f t="shared" si="2"/>
        <v>8.98</v>
      </c>
      <c r="E17">
        <f t="shared" si="3"/>
        <v>0</v>
      </c>
    </row>
    <row r="18" spans="2:5" x14ac:dyDescent="0.2">
      <c r="B18">
        <v>5</v>
      </c>
      <c r="C18">
        <v>2</v>
      </c>
      <c r="D18">
        <f t="shared" si="2"/>
        <v>8.98</v>
      </c>
      <c r="E18">
        <f t="shared" si="3"/>
        <v>0</v>
      </c>
    </row>
    <row r="19" spans="2:5" x14ac:dyDescent="0.2">
      <c r="B19">
        <v>6</v>
      </c>
      <c r="C19">
        <v>1</v>
      </c>
      <c r="D19">
        <f t="shared" si="2"/>
        <v>8.98</v>
      </c>
      <c r="E19">
        <f t="shared" si="3"/>
        <v>0</v>
      </c>
    </row>
    <row r="21" spans="2:5" x14ac:dyDescent="0.2">
      <c r="E21">
        <f>+SUM(E13:E19)</f>
        <v>2</v>
      </c>
    </row>
  </sheetData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575"/>
  <sheetViews>
    <sheetView showGridLines="0" zoomScale="130" zoomScaleNormal="130" workbookViewId="0">
      <selection activeCell="R22" sqref="R22"/>
    </sheetView>
  </sheetViews>
  <sheetFormatPr defaultRowHeight="12.75" x14ac:dyDescent="0.2"/>
  <cols>
    <col min="1" max="1" width="3.5703125" customWidth="1"/>
    <col min="2" max="2" width="2.85546875" customWidth="1"/>
    <col min="3" max="3" width="3.42578125" customWidth="1"/>
    <col min="4" max="4" width="13.5703125" customWidth="1"/>
    <col min="5" max="5" width="2.28515625" customWidth="1"/>
    <col min="6" max="6" width="6.42578125" customWidth="1"/>
    <col min="7" max="7" width="10" customWidth="1"/>
    <col min="8" max="8" width="2.5703125" customWidth="1"/>
    <col min="9" max="9" width="7.7109375" customWidth="1"/>
    <col min="10" max="10" width="4.42578125" customWidth="1"/>
    <col min="11" max="12" width="5.7109375" customWidth="1"/>
    <col min="13" max="13" width="6.42578125" customWidth="1"/>
    <col min="14" max="15" width="6" customWidth="1"/>
  </cols>
  <sheetData>
    <row r="2" spans="1:18" x14ac:dyDescent="0.2">
      <c r="D2" s="252" t="s">
        <v>18</v>
      </c>
      <c r="E2" s="253"/>
      <c r="F2" s="46">
        <f>IF(AND(Formulas!B16="No", Formulas!C14="No"), NA(), 100*(1-NORMSDIST(Formulas!B18) + NORMSDIST(Formulas!B19)))</f>
        <v>10.290801924637021</v>
      </c>
      <c r="H2" s="58"/>
      <c r="J2" s="140"/>
      <c r="K2" s="140"/>
      <c r="L2" s="141" t="s">
        <v>19</v>
      </c>
      <c r="M2" s="141" t="s">
        <v>20</v>
      </c>
      <c r="N2" s="140" t="s">
        <v>21</v>
      </c>
      <c r="O2" s="140" t="s">
        <v>21</v>
      </c>
      <c r="P2" s="245" t="s">
        <v>6</v>
      </c>
      <c r="Q2" s="246"/>
      <c r="R2" s="135"/>
    </row>
    <row r="3" spans="1:18" ht="14.25" x14ac:dyDescent="0.25">
      <c r="D3" s="45"/>
      <c r="E3" s="72" t="s">
        <v>22</v>
      </c>
      <c r="F3" s="46">
        <f>+Formulas!B20</f>
        <v>0.59289469491795443</v>
      </c>
      <c r="H3" s="58"/>
      <c r="J3" s="141" t="s">
        <v>23</v>
      </c>
      <c r="K3" s="141" t="s">
        <v>24</v>
      </c>
      <c r="L3" s="141" t="s">
        <v>25</v>
      </c>
      <c r="M3" s="141" t="s">
        <v>25</v>
      </c>
      <c r="N3" s="141" t="s">
        <v>26</v>
      </c>
      <c r="O3" s="141" t="s">
        <v>27</v>
      </c>
      <c r="P3" s="135"/>
      <c r="Q3" s="135"/>
      <c r="R3" s="135"/>
    </row>
    <row r="4" spans="1:18" ht="14.25" x14ac:dyDescent="0.25">
      <c r="D4" s="47"/>
      <c r="E4" s="44" t="s">
        <v>28</v>
      </c>
      <c r="F4" s="27">
        <f>Formulas!B21</f>
        <v>0.44800605384737918</v>
      </c>
      <c r="H4" s="33"/>
      <c r="J4" s="142">
        <v>3.12</v>
      </c>
      <c r="K4" s="143">
        <f>IF(ISBLANK(Xbar_R!$D$2), Xbar_R!$F$2-(J4*Formulas!$C$15), Xbar_R!$D$2-(J4*Formulas!$C$15))</f>
        <v>2.9805384780739468</v>
      </c>
      <c r="L4" s="143">
        <f>IF(ISBLANK(Xbar_R!$D$2), NORMDIST(K4, Xbar_R!$F$2, Formulas!$C$15, FALSE), NORMDIST(K4, Xbar_R!$D$2, Formulas!$C$15, FALSE))</f>
        <v>2.7301140309203605E-3</v>
      </c>
      <c r="M4" s="143">
        <f>100*(L4/$L$317)</f>
        <v>6.1512382945210515E-3</v>
      </c>
      <c r="N4" s="140">
        <f>+IF(K4&gt;=(Formulas!$D$4), M4, 0)</f>
        <v>0</v>
      </c>
      <c r="O4" s="140">
        <f>+IF(K4&lt;=(Formulas!$D$3), M4, 0)</f>
        <v>6.1512382945210515E-3</v>
      </c>
      <c r="P4" s="144">
        <f>NORMDIST(K4,Xbar_R!$I$2,Xbar_R!$K$2/3,FALSE)</f>
        <v>2.1015195371472368E-5</v>
      </c>
      <c r="Q4" s="140">
        <f>100*(P4/$P$317)</f>
        <v>4.7260266351423154E-5</v>
      </c>
      <c r="R4" s="135">
        <f>+$M$160</f>
        <v>0.79939357602813355</v>
      </c>
    </row>
    <row r="5" spans="1:18" x14ac:dyDescent="0.2">
      <c r="A5" s="251" t="str">
        <f>IF(AND(Formulas!C14 = "No", Formulas!B16="No"), "Process is out of control", IF(Formulas!C14 = "Yes", "Based on historic data", "Based on current data"))</f>
        <v>Based on current data</v>
      </c>
      <c r="B5" s="248"/>
      <c r="C5" s="248"/>
      <c r="D5" s="248"/>
      <c r="E5" s="248"/>
      <c r="F5" s="248"/>
      <c r="G5" s="248"/>
      <c r="H5" s="248"/>
      <c r="J5" s="142">
        <v>3.1</v>
      </c>
      <c r="K5" s="143">
        <f>IF(ISBLANK(Xbar_R!$D$2), Xbar_R!$F$2-(J5*Formulas!$C$15), Xbar_R!$D$2-(J5*Formulas!$C$15))</f>
        <v>3.0030270134709087</v>
      </c>
      <c r="L5" s="143">
        <f>IF(ISBLANK(Xbar_R!$D$2), NORMDIST(K5, Xbar_R!$F$2, Formulas!$C$15, FALSE), NORMDIST(K5, Xbar_R!$D$2, Formulas!$C$15, FALSE))</f>
        <v>2.9053195315167156E-3</v>
      </c>
      <c r="M5" s="143">
        <f>100*(L5/$L$317)</f>
        <v>6.5459949869056955E-3</v>
      </c>
      <c r="N5" s="140">
        <f>+IF(K5&gt;=(Formulas!$D$4), M5, 0)</f>
        <v>0</v>
      </c>
      <c r="O5" s="140">
        <f>+IF(K5&lt;=(Formulas!$D$3), M5, 0)</f>
        <v>6.5459949869056955E-3</v>
      </c>
      <c r="P5" s="144">
        <f>NORMDIST(K5,Xbar_R!$I$2,Xbar_R!$K$2/3,FALSE)</f>
        <v>2.4470276223322296E-5</v>
      </c>
      <c r="Q5" s="140">
        <f>100*(P5/$P$317)</f>
        <v>5.5030265080332874E-5</v>
      </c>
      <c r="R5" s="135">
        <f>+$R$4</f>
        <v>0.79939357602813355</v>
      </c>
    </row>
    <row r="6" spans="1:18" x14ac:dyDescent="0.2">
      <c r="A6" s="247" t="str">
        <f>+IF(Formulas!B16="No", CONCATENATE("(", Xbar_R!AB24, " out-of-control flags on X-bar chart and ", Xbar_R!AB33, " on R chart)"), "")</f>
        <v/>
      </c>
      <c r="B6" s="248"/>
      <c r="C6" s="248"/>
      <c r="D6" s="248"/>
      <c r="E6" s="248"/>
      <c r="F6" s="248"/>
      <c r="G6" s="248"/>
      <c r="H6" s="248"/>
      <c r="J6" s="142"/>
      <c r="K6" s="143"/>
      <c r="L6" s="143"/>
      <c r="M6" s="143"/>
      <c r="N6" s="140"/>
      <c r="O6" s="140"/>
      <c r="P6" s="144"/>
      <c r="Q6" s="140"/>
      <c r="R6" s="135"/>
    </row>
    <row r="7" spans="1:18" x14ac:dyDescent="0.2">
      <c r="A7" s="250" t="str">
        <f>IF(Formulas!C14="No", CONCATENATE("Current data = ", ROUND(Xbar_R!F2, 4),  " ± ", ROUND(Formulas!F15, 4)), CONCATENATE("Historic data = ", ROUND(Xbar_R!D2, 4),  " ± ", ROUND(Formulas!F15, 4)))</f>
        <v>Current data = 6.4888 ± 3.3733</v>
      </c>
      <c r="B7" s="248"/>
      <c r="C7" s="248"/>
      <c r="D7" s="248"/>
      <c r="E7" s="248"/>
      <c r="F7" s="248"/>
      <c r="G7" s="248"/>
      <c r="H7" s="248"/>
      <c r="J7" s="142">
        <v>3.08</v>
      </c>
      <c r="K7" s="143">
        <f>IF(ISBLANK(Xbar_R!$D$2), Xbar_R!$F$2-(J7*Formulas!$C$15), Xbar_R!$D$2-(J7*Formulas!$C$15))</f>
        <v>3.0255155488678707</v>
      </c>
      <c r="L7" s="143">
        <f>IF(ISBLANK(Xbar_R!$D$2), NORMDIST(K7, Xbar_R!$F$2, Formulas!$C$15, FALSE), NORMDIST(K7, Xbar_R!$D$2, Formulas!$C$15, FALSE))</f>
        <v>3.0905324126393823E-3</v>
      </c>
      <c r="M7" s="143">
        <f t="shared" ref="M7:M38" si="0">100*(L7/$L$317)</f>
        <v>6.9632993756957324E-3</v>
      </c>
      <c r="N7" s="140">
        <f>+IF(K7&gt;=(Formulas!$D$4), M7, 0)</f>
        <v>0</v>
      </c>
      <c r="O7" s="140">
        <f>+IF(K7&lt;=(Formulas!$D$3), M7, 0)</f>
        <v>6.9632993756957324E-3</v>
      </c>
      <c r="P7" s="144">
        <f>NORMDIST(K7,Xbar_R!$I$2,Xbar_R!$K$2/3,FALSE)</f>
        <v>2.846099815028443E-5</v>
      </c>
      <c r="Q7" s="140">
        <f t="shared" ref="Q7:Q38" si="1">100*(P7/$P$317)</f>
        <v>6.400484646627223E-5</v>
      </c>
      <c r="R7" s="135">
        <f t="shared" ref="R7:R69" si="2">+$R$4</f>
        <v>0.79939357602813355</v>
      </c>
    </row>
    <row r="8" spans="1:18" x14ac:dyDescent="0.2">
      <c r="A8" s="249" t="str">
        <f>CONCATENATE("Specifications = ", Formulas!B3,  " ± ", Formulas!B4)</f>
        <v>Specifications = 6 ± 2</v>
      </c>
      <c r="B8" s="248"/>
      <c r="C8" s="248"/>
      <c r="D8" s="248"/>
      <c r="E8" s="248"/>
      <c r="F8" s="248"/>
      <c r="G8" s="248"/>
      <c r="H8" s="248"/>
      <c r="J8" s="142">
        <v>3.06</v>
      </c>
      <c r="K8" s="143">
        <f>IF(ISBLANK(Xbar_R!$D$2), Xbar_R!$F$2-(J8*Formulas!$C$15), Xbar_R!$D$2-(J8*Formulas!$C$15))</f>
        <v>3.0480040842648326</v>
      </c>
      <c r="L8" s="143">
        <f>IF(ISBLANK(Xbar_R!$D$2), NORMDIST(K8, Xbar_R!$F$2, Formulas!$C$15, FALSE), NORMDIST(K8, Xbar_R!$D$2, Formulas!$C$15, FALSE))</f>
        <v>3.2862377779019208E-3</v>
      </c>
      <c r="M8" s="143">
        <f t="shared" si="0"/>
        <v>7.404244451107227E-3</v>
      </c>
      <c r="N8" s="140">
        <f>+IF(K8&gt;=(Formulas!$D$4), M8, 0)</f>
        <v>0</v>
      </c>
      <c r="O8" s="140">
        <f>+IF(K8&lt;=(Formulas!$D$3), M8, 0)</f>
        <v>7.404244451107227E-3</v>
      </c>
      <c r="P8" s="144">
        <f>NORMDIST(K8,Xbar_R!$I$2,Xbar_R!$K$2/3,FALSE)</f>
        <v>3.3064898801726304E-5</v>
      </c>
      <c r="Q8" s="140">
        <f t="shared" si="1"/>
        <v>7.4358381953170232E-5</v>
      </c>
      <c r="R8" s="135">
        <f t="shared" si="2"/>
        <v>0.79939357602813355</v>
      </c>
    </row>
    <row r="9" spans="1:18" x14ac:dyDescent="0.2">
      <c r="A9" s="247" t="str">
        <f>CONCATENATE(Xbar_R!AC13, " sample(s) have been excluded")</f>
        <v>1 sample(s) have been excluded</v>
      </c>
      <c r="B9" s="248"/>
      <c r="C9" s="248"/>
      <c r="D9" s="248"/>
      <c r="E9" s="248"/>
      <c r="F9" s="248"/>
      <c r="G9" s="248"/>
      <c r="H9" s="248"/>
      <c r="J9" s="142">
        <v>3.02</v>
      </c>
      <c r="K9" s="143">
        <f>IF(ISBLANK(Xbar_R!$D$2), Xbar_R!$F$2-(J9*Formulas!$C$15), Xbar_R!$D$2-(J9*Formulas!$C$15))</f>
        <v>3.0929811550587565</v>
      </c>
      <c r="L9" s="143">
        <f>IF(ISBLANK(Xbar_R!$D$2), NORMDIST(K9, Xbar_R!$F$2, Formulas!$C$15, FALSE), NORMDIST(K9, Xbar_R!$D$2, Formulas!$C$15, FALSE))</f>
        <v>3.711155849738182E-3</v>
      </c>
      <c r="M9" s="143">
        <f t="shared" si="0"/>
        <v>8.3616302181156888E-3</v>
      </c>
      <c r="N9" s="140">
        <f>+IF(K9&gt;=(Formulas!$D$4), M9, 0)</f>
        <v>0</v>
      </c>
      <c r="O9" s="140">
        <f>+IF(K9&lt;=(Formulas!$D$3), M9, 0)</f>
        <v>8.3616302181156888E-3</v>
      </c>
      <c r="P9" s="144">
        <f>NORMDIST(K9,Xbar_R!$I$2,Xbar_R!$K$2/3,FALSE)</f>
        <v>4.4475289705174127E-5</v>
      </c>
      <c r="Q9" s="140">
        <f t="shared" si="1"/>
        <v>1.0001877214886788E-4</v>
      </c>
      <c r="R9" s="135">
        <f t="shared" si="2"/>
        <v>0.79939357602813355</v>
      </c>
    </row>
    <row r="10" spans="1:18" x14ac:dyDescent="0.2">
      <c r="J10" s="142">
        <v>3</v>
      </c>
      <c r="K10" s="143">
        <f>IF(ISBLANK(Xbar_R!$D$2), Xbar_R!$F$2-(J10*Formulas!$C$15), Xbar_R!$D$2-(J10*Formulas!$C$15))</f>
        <v>3.1154696904557184</v>
      </c>
      <c r="L10" s="143">
        <f>IF(ISBLANK(Xbar_R!$D$2), NORMDIST(K10, Xbar_R!$F$2, Formulas!$C$15, FALSE), NORMDIST(K10, Xbar_R!$D$2, Formulas!$C$15, FALSE))</f>
        <v>3.9414291181779082E-3</v>
      </c>
      <c r="M10" s="143">
        <f t="shared" si="0"/>
        <v>8.8804604687896735E-3</v>
      </c>
      <c r="N10" s="140">
        <f>+IF(K10&gt;=(Formulas!$D$4), M10, 0)</f>
        <v>0</v>
      </c>
      <c r="O10" s="140">
        <f>+IF(K10&lt;=(Formulas!$D$3), M10, 0)</f>
        <v>8.8804604687896735E-3</v>
      </c>
      <c r="P10" s="144">
        <f>NORMDIST(K10,Xbar_R!$I$2,Xbar_R!$K$2/3,FALSE)</f>
        <v>5.149360565145068E-5</v>
      </c>
      <c r="Q10" s="140">
        <f t="shared" si="1"/>
        <v>1.1580199353208319E-4</v>
      </c>
      <c r="R10" s="135">
        <f t="shared" si="2"/>
        <v>0.79939357602813355</v>
      </c>
    </row>
    <row r="11" spans="1:18" x14ac:dyDescent="0.2">
      <c r="J11" s="142">
        <v>2.98</v>
      </c>
      <c r="K11" s="143">
        <f>IF(ISBLANK(Xbar_R!$D$2), Xbar_R!$F$2-(J11*Formulas!$C$15), Xbar_R!$D$2-(J11*Formulas!$C$15))</f>
        <v>3.1379582258526799</v>
      </c>
      <c r="L11" s="143">
        <f>IF(ISBLANK(Xbar_R!$D$2), NORMDIST(K11, Xbar_R!$F$2, Formulas!$C$15, FALSE), NORMDIST(K11, Xbar_R!$D$2, Formulas!$C$15, FALSE))</f>
        <v>4.1843165363001826E-3</v>
      </c>
      <c r="M11" s="143">
        <f t="shared" si="0"/>
        <v>9.4277117449964084E-3</v>
      </c>
      <c r="N11" s="140">
        <f>+IF(K11&gt;=(Formulas!$D$4), M11, 0)</f>
        <v>0</v>
      </c>
      <c r="O11" s="140">
        <f>+IF(K11&lt;=(Formulas!$D$3), M11, 0)</f>
        <v>9.4277117449964084E-3</v>
      </c>
      <c r="P11" s="144">
        <f>NORMDIST(K11,Xbar_R!$I$2,Xbar_R!$K$2/3,FALSE)</f>
        <v>5.9551627552418586E-5</v>
      </c>
      <c r="Q11" s="140">
        <f t="shared" si="1"/>
        <v>1.3392336973505224E-4</v>
      </c>
      <c r="R11" s="135">
        <f t="shared" si="2"/>
        <v>0.79939357602813355</v>
      </c>
    </row>
    <row r="12" spans="1:18" x14ac:dyDescent="0.2">
      <c r="J12" s="142">
        <v>2.96</v>
      </c>
      <c r="K12" s="143">
        <f>IF(ISBLANK(Xbar_R!$D$2), Xbar_R!$F$2-(J12*Formulas!$C$15), Xbar_R!$D$2-(J12*Formulas!$C$15))</f>
        <v>3.1604467612496419</v>
      </c>
      <c r="L12" s="143">
        <f>IF(ISBLANK(Xbar_R!$D$2), NORMDIST(K12, Xbar_R!$F$2, Formulas!$C$15, FALSE), NORMDIST(K12, Xbar_R!$D$2, Formulas!$C$15, FALSE))</f>
        <v>4.4403951840162065E-3</v>
      </c>
      <c r="M12" s="143">
        <f t="shared" si="0"/>
        <v>1.0004684269367103E-2</v>
      </c>
      <c r="N12" s="140">
        <f>+IF(K12&gt;=(Formulas!$D$4), M12, 0)</f>
        <v>0</v>
      </c>
      <c r="O12" s="140">
        <f>+IF(K12&lt;=(Formulas!$D$3), M12, 0)</f>
        <v>1.0004684269367103E-2</v>
      </c>
      <c r="P12" s="144">
        <f>NORMDIST(K12,Xbar_R!$I$2,Xbar_R!$K$2/3,FALSE)</f>
        <v>6.8792292614226294E-5</v>
      </c>
      <c r="Q12" s="140">
        <f t="shared" si="1"/>
        <v>1.5470434675504962E-4</v>
      </c>
      <c r="R12" s="135">
        <f t="shared" si="2"/>
        <v>0.79939357602813355</v>
      </c>
    </row>
    <row r="13" spans="1:18" x14ac:dyDescent="0.2">
      <c r="J13" s="142">
        <v>2.94</v>
      </c>
      <c r="K13" s="143">
        <f>IF(ISBLANK(Xbar_R!$D$2), Xbar_R!$F$2-(J13*Formulas!$C$15), Xbar_R!$D$2-(J13*Formulas!$C$15))</f>
        <v>3.1829352966466038</v>
      </c>
      <c r="L13" s="143">
        <f>IF(ISBLANK(Xbar_R!$D$2), NORMDIST(K13, Xbar_R!$F$2, Formulas!$C$15, FALSE), NORMDIST(K13, Xbar_R!$D$2, Formulas!$C$15, FALSE))</f>
        <v>4.7102612703062343E-3</v>
      </c>
      <c r="M13" s="143">
        <f t="shared" si="0"/>
        <v>1.061272136436717E-2</v>
      </c>
      <c r="N13" s="140">
        <f>+IF(K13&gt;=(Formulas!$D$4), M13, 0)</f>
        <v>0</v>
      </c>
      <c r="O13" s="140">
        <f>+IF(K13&lt;=(Formulas!$D$3), M13, 0)</f>
        <v>1.061272136436717E-2</v>
      </c>
      <c r="P13" s="144">
        <f>NORMDIST(K13,Xbar_R!$I$2,Xbar_R!$K$2/3,FALSE)</f>
        <v>7.937646368178037E-5</v>
      </c>
      <c r="Q13" s="140">
        <f t="shared" si="1"/>
        <v>1.7850668287040434E-4</v>
      </c>
      <c r="R13" s="135">
        <f t="shared" si="2"/>
        <v>0.79939357602813355</v>
      </c>
    </row>
    <row r="14" spans="1:18" x14ac:dyDescent="0.2">
      <c r="J14" s="142">
        <v>2.92</v>
      </c>
      <c r="K14" s="143">
        <f>IF(ISBLANK(Xbar_R!$D$2), Xbar_R!$F$2-(J14*Formulas!$C$15), Xbar_R!$D$2-(J14*Formulas!$C$15))</f>
        <v>3.2054238320435657</v>
      </c>
      <c r="L14" s="143">
        <f>IF(ISBLANK(Xbar_R!$D$2), NORMDIST(K14, Xbar_R!$F$2, Formulas!$C$15, FALSE), NORMDIST(K14, Xbar_R!$D$2, Formulas!$C$15, FALSE))</f>
        <v>4.9945303212139526E-3</v>
      </c>
      <c r="M14" s="143">
        <f t="shared" si="0"/>
        <v>1.1253209875867634E-2</v>
      </c>
      <c r="N14" s="140">
        <f>+IF(K14&gt;=(Formulas!$D$4), M14, 0)</f>
        <v>0</v>
      </c>
      <c r="O14" s="140">
        <f>+IF(K14&lt;=(Formulas!$D$3), M14, 0)</f>
        <v>1.1253209875867634E-2</v>
      </c>
      <c r="P14" s="144">
        <f>NORMDIST(K14,Xbar_R!$I$2,Xbar_R!$K$2/3,FALSE)</f>
        <v>9.1484922706863573E-5</v>
      </c>
      <c r="Q14" s="140">
        <f t="shared" si="1"/>
        <v>2.0573693167444545E-4</v>
      </c>
      <c r="R14" s="135">
        <f t="shared" si="2"/>
        <v>0.79939357602813355</v>
      </c>
    </row>
    <row r="15" spans="1:18" x14ac:dyDescent="0.2">
      <c r="J15" s="142">
        <v>2.9</v>
      </c>
      <c r="K15" s="143">
        <f>IF(ISBLANK(Xbar_R!$D$2), Xbar_R!$F$2-(J15*Formulas!$C$15), Xbar_R!$D$2-(J15*Formulas!$C$15))</f>
        <v>3.2279123674405277</v>
      </c>
      <c r="L15" s="143">
        <f>IF(ISBLANK(Xbar_R!$D$2), NORMDIST(K15, Xbar_R!$F$2, Formulas!$C$15, FALSE), NORMDIST(K15, Xbar_R!$D$2, Formulas!$C$15, FALSE))</f>
        <v>5.2938373395183562E-3</v>
      </c>
      <c r="M15" s="143">
        <f t="shared" si="0"/>
        <v>1.1927580532902899E-2</v>
      </c>
      <c r="N15" s="140">
        <f>+IF(K15&gt;=(Formulas!$D$4), M15, 0)</f>
        <v>0</v>
      </c>
      <c r="O15" s="140">
        <f>+IF(K15&lt;=(Formulas!$D$3), M15, 0)</f>
        <v>1.1927580532902899E-2</v>
      </c>
      <c r="P15" s="144">
        <f>NORMDIST(K15,Xbar_R!$I$2,Xbar_R!$K$2/3,FALSE)</f>
        <v>1.0532055033285947E-4</v>
      </c>
      <c r="Q15" s="140">
        <f t="shared" si="1"/>
        <v>2.3685134365994122E-4</v>
      </c>
      <c r="R15" s="135">
        <f t="shared" si="2"/>
        <v>0.79939357602813355</v>
      </c>
    </row>
    <row r="16" spans="1:18" x14ac:dyDescent="0.2">
      <c r="J16" s="142">
        <v>2.88</v>
      </c>
      <c r="K16" s="143">
        <f>IF(ISBLANK(Xbar_R!$D$2), Xbar_R!$F$2-(J16*Formulas!$C$15), Xbar_R!$D$2-(J16*Formulas!$C$15))</f>
        <v>3.2504009028374896</v>
      </c>
      <c r="L16" s="143">
        <f>IF(ISBLANK(Xbar_R!$D$2), NORMDIST(K16, Xbar_R!$F$2, Formulas!$C$15, FALSE), NORMDIST(K16, Xbar_R!$D$2, Formulas!$C$15, FALSE))</f>
        <v>5.6088369339676453E-3</v>
      </c>
      <c r="M16" s="143">
        <f t="shared" si="0"/>
        <v>1.2637308238848524E-2</v>
      </c>
      <c r="N16" s="140">
        <f>+IF(K16&gt;=(Formulas!$D$4), M16, 0)</f>
        <v>0</v>
      </c>
      <c r="O16" s="140">
        <f>+IF(K16&lt;=(Formulas!$D$3), M16, 0)</f>
        <v>1.2637308238848524E-2</v>
      </c>
      <c r="P16" s="144">
        <f>NORMDIST(K16,Xbar_R!$I$2,Xbar_R!$K$2/3,FALSE)</f>
        <v>1.2111070423590291E-4</v>
      </c>
      <c r="Q16" s="140">
        <f t="shared" si="1"/>
        <v>2.7236121477923654E-4</v>
      </c>
      <c r="R16" s="135">
        <f t="shared" si="2"/>
        <v>0.79939357602813355</v>
      </c>
    </row>
    <row r="17" spans="3:18" x14ac:dyDescent="0.2">
      <c r="J17" s="142">
        <v>2.86</v>
      </c>
      <c r="K17" s="143">
        <f>IF(ISBLANK(Xbar_R!$D$2), Xbar_R!$F$2-(J17*Formulas!$C$15), Xbar_R!$D$2-(J17*Formulas!$C$15))</f>
        <v>3.2728894382344516</v>
      </c>
      <c r="L17" s="143">
        <f>IF(ISBLANK(Xbar_R!$D$2), NORMDIST(K17, Xbar_R!$F$2, Formulas!$C$15, FALSE), NORMDIST(K17, Xbar_R!$D$2, Formulas!$C$15, FALSE))</f>
        <v>5.9402034159191817E-3</v>
      </c>
      <c r="M17" s="143">
        <f t="shared" si="0"/>
        <v>1.3383912289161345E-2</v>
      </c>
      <c r="N17" s="140">
        <f>+IF(K17&gt;=(Formulas!$D$4), M17, 0)</f>
        <v>0</v>
      </c>
      <c r="O17" s="140">
        <f>+IF(K17&lt;=(Formulas!$D$3), M17, 0)</f>
        <v>1.3383912289161345E-2</v>
      </c>
      <c r="P17" s="144">
        <f>NORMDIST(K17,Xbar_R!$I$2,Xbar_R!$K$2/3,FALSE)</f>
        <v>1.3910980909828577E-4</v>
      </c>
      <c r="Q17" s="140">
        <f t="shared" si="1"/>
        <v>3.1283871093604779E-4</v>
      </c>
      <c r="R17" s="135">
        <f t="shared" si="2"/>
        <v>0.79939357602813355</v>
      </c>
    </row>
    <row r="18" spans="3:18" x14ac:dyDescent="0.2">
      <c r="J18" s="142">
        <v>2.84</v>
      </c>
      <c r="K18" s="143">
        <f>IF(ISBLANK(Xbar_R!$D$2), Xbar_R!$F$2-(J18*Formulas!$C$15), Xbar_R!$D$2-(J18*Formulas!$C$15))</f>
        <v>3.2953779736314135</v>
      </c>
      <c r="L18" s="143">
        <f>IF(ISBLANK(Xbar_R!$D$2), NORMDIST(K18, Xbar_R!$F$2, Formulas!$C$15, FALSE), NORMDIST(K18, Xbar_R!$D$2, Formulas!$C$15, FALSE))</f>
        <v>6.2886308611940361E-3</v>
      </c>
      <c r="M18" s="143">
        <f t="shared" si="0"/>
        <v>1.4168956510744391E-2</v>
      </c>
      <c r="N18" s="140">
        <f>+IF(K18&gt;=(Formulas!$D$4), M18, 0)</f>
        <v>0</v>
      </c>
      <c r="O18" s="140">
        <f>+IF(K18&lt;=(Formulas!$D$3), M18, 0)</f>
        <v>1.4168956510744391E-2</v>
      </c>
      <c r="P18" s="144">
        <f>NORMDIST(K18,Xbar_R!$I$2,Xbar_R!$K$2/3,FALSE)</f>
        <v>1.5960217123617889E-4</v>
      </c>
      <c r="Q18" s="140">
        <f t="shared" si="1"/>
        <v>3.5892319769372644E-4</v>
      </c>
      <c r="R18" s="135">
        <f t="shared" si="2"/>
        <v>0.79939357602813355</v>
      </c>
    </row>
    <row r="19" spans="3:18" x14ac:dyDescent="0.2">
      <c r="J19" s="142">
        <v>2.82</v>
      </c>
      <c r="K19" s="143">
        <f>IF(ISBLANK(Xbar_R!$D$2), Xbar_R!$F$2-(J19*Formulas!$C$15), Xbar_R!$D$2-(J19*Formulas!$C$15))</f>
        <v>3.3178665090283754</v>
      </c>
      <c r="L19" s="143">
        <f>IF(ISBLANK(Xbar_R!$D$2), NORMDIST(K19, Xbar_R!$F$2, Formulas!$C$15, FALSE), NORMDIST(K19, Xbar_R!$D$2, Formulas!$C$15, FALSE))</f>
        <v>6.6548331349239155E-3</v>
      </c>
      <c r="M19" s="143">
        <f t="shared" si="0"/>
        <v>1.4994049317929638E-2</v>
      </c>
      <c r="N19" s="140">
        <f>+IF(K19&gt;=(Formulas!$D$4), M19, 0)</f>
        <v>0</v>
      </c>
      <c r="O19" s="140">
        <f>+IF(K19&lt;=(Formulas!$D$3), M19, 0)</f>
        <v>1.4994049317929638E-2</v>
      </c>
      <c r="P19" s="144">
        <f>NORMDIST(K19,Xbar_R!$I$2,Xbar_R!$K$2/3,FALSE)</f>
        <v>1.8290503094500575E-4</v>
      </c>
      <c r="Q19" s="140">
        <f t="shared" si="1"/>
        <v>4.1132810457762784E-4</v>
      </c>
      <c r="R19" s="135">
        <f t="shared" si="2"/>
        <v>0.79939357602813355</v>
      </c>
    </row>
    <row r="20" spans="3:18" x14ac:dyDescent="0.2">
      <c r="J20" s="142">
        <v>2.8</v>
      </c>
      <c r="K20" s="143">
        <f>IF(ISBLANK(Xbar_R!$D$2), Xbar_R!$F$2-(J20*Formulas!$C$15), Xbar_R!$D$2-(J20*Formulas!$C$15))</f>
        <v>3.3403550444253374</v>
      </c>
      <c r="L20" s="143">
        <f>IF(ISBLANK(Xbar_R!$D$2), NORMDIST(K20, Xbar_R!$F$2, Formulas!$C$15, FALSE), NORMDIST(K20, Xbar_R!$D$2, Formulas!$C$15, FALSE))</f>
        <v>7.0395438771431208E-3</v>
      </c>
      <c r="M20" s="143">
        <f t="shared" si="0"/>
        <v>1.5860843680015179E-2</v>
      </c>
      <c r="N20" s="140">
        <f>+IF(K20&gt;=(Formulas!$D$4), M20, 0)</f>
        <v>0</v>
      </c>
      <c r="O20" s="140">
        <f>+IF(K20&lt;=(Formulas!$D$3), M20, 0)</f>
        <v>1.5860843680015179E-2</v>
      </c>
      <c r="P20" s="144">
        <f>NORMDIST(K20,Xbar_R!$I$2,Xbar_R!$K$2/3,FALSE)</f>
        <v>2.0937186554581004E-4</v>
      </c>
      <c r="Q20" s="140">
        <f t="shared" si="1"/>
        <v>4.7084835316932284E-4</v>
      </c>
      <c r="R20" s="135">
        <f t="shared" si="2"/>
        <v>0.79939357602813355</v>
      </c>
    </row>
    <row r="21" spans="3:18" x14ac:dyDescent="0.2">
      <c r="J21" s="142">
        <v>2.78</v>
      </c>
      <c r="K21" s="143">
        <f>IF(ISBLANK(Xbar_R!$D$2), Xbar_R!$F$2-(J21*Formulas!$C$15), Xbar_R!$D$2-(J21*Formulas!$C$15))</f>
        <v>3.3628435798222993</v>
      </c>
      <c r="L21" s="143">
        <f>IF(ISBLANK(Xbar_R!$D$2), NORMDIST(K21, Xbar_R!$F$2, Formulas!$C$15, FALSE), NORMDIST(K21, Xbar_R!$D$2, Formulas!$C$15, FALSE))</f>
        <v>7.4435164468591832E-3</v>
      </c>
      <c r="M21" s="143">
        <f t="shared" si="0"/>
        <v>1.6771036995250371E-2</v>
      </c>
      <c r="N21" s="140">
        <f>+IF(K21&gt;=(Formulas!$D$4), M21, 0)</f>
        <v>0</v>
      </c>
      <c r="O21" s="147">
        <f>+IF(K21&lt;=(Formulas!$D$3), M21, 0)</f>
        <v>1.6771036995250371E-2</v>
      </c>
      <c r="P21" s="147">
        <f>NORMDIST(K21,Xbar_R!$I$2,Xbar_R!$K$2/3,FALSE)</f>
        <v>2.3939595589756766E-4</v>
      </c>
      <c r="Q21" s="140">
        <f t="shared" si="1"/>
        <v>5.3836837769926109E-4</v>
      </c>
      <c r="R21" s="135">
        <f t="shared" si="2"/>
        <v>0.79939357602813355</v>
      </c>
    </row>
    <row r="22" spans="3:18" x14ac:dyDescent="0.2">
      <c r="J22" s="142">
        <v>2.76</v>
      </c>
      <c r="K22" s="143">
        <f>IF(ISBLANK(Xbar_R!$D$2), Xbar_R!$F$2-(J22*Formulas!$C$15), Xbar_R!$D$2-(J22*Formulas!$C$15))</f>
        <v>3.3853321152192608</v>
      </c>
      <c r="L22" s="143">
        <f>IF(ISBLANK(Xbar_R!$D$2), NORMDIST(K22, Xbar_R!$F$2, Formulas!$C$15, FALSE), NORMDIST(K22, Xbar_R!$D$2, Formulas!$C$15, FALSE))</f>
        <v>7.8675238223226886E-3</v>
      </c>
      <c r="M22" s="143">
        <f t="shared" si="0"/>
        <v>1.7726370866133129E-2</v>
      </c>
      <c r="N22" s="140">
        <f>+IF(K22&gt;=(Formulas!$D$4), M22, 0)</f>
        <v>0</v>
      </c>
      <c r="O22" s="147">
        <f>+IF(K22&lt;=(Formulas!$D$3), M22, 0)</f>
        <v>1.7726370866133129E-2</v>
      </c>
      <c r="P22" s="147">
        <f>NORMDIST(K22,Xbar_R!$I$2,Xbar_R!$K$2/3,FALSE)</f>
        <v>2.7341422876545713E-4</v>
      </c>
      <c r="Q22" s="140">
        <f t="shared" si="1"/>
        <v>6.1487076600131229E-4</v>
      </c>
      <c r="R22" s="135">
        <f t="shared" si="2"/>
        <v>0.79939357602813355</v>
      </c>
    </row>
    <row r="23" spans="3:18" x14ac:dyDescent="0.2">
      <c r="C23" s="57"/>
      <c r="J23" s="142">
        <v>2.74</v>
      </c>
      <c r="K23" s="143">
        <f>IF(ISBLANK(Xbar_R!$D$2), Xbar_R!$F$2-(J23*Formulas!$C$15), Xbar_R!$D$2-(J23*Formulas!$C$15))</f>
        <v>3.4078206506162223</v>
      </c>
      <c r="L23" s="143">
        <f>IF(ISBLANK(Xbar_R!$D$2), NORMDIST(K23, Xbar_R!$F$2, Formulas!$C$15, FALSE), NORMDIST(K23, Xbar_R!$D$2, Formulas!$C$15, FALSE))</f>
        <v>8.3123584552108973E-3</v>
      </c>
      <c r="M23" s="143">
        <f t="shared" si="0"/>
        <v>1.8728630770870048E-2</v>
      </c>
      <c r="N23" s="140">
        <f>+IF(K23&gt;=(Formulas!$D$4), M23, 0)</f>
        <v>0</v>
      </c>
      <c r="O23" s="147">
        <f>+IF(K23&lt;=(Formulas!$D$3), M23, 0)</f>
        <v>1.8728630770870048E-2</v>
      </c>
      <c r="P23" s="147">
        <f>NORMDIST(K23,Xbar_R!$I$2,Xbar_R!$K$2/3,FALSE)</f>
        <v>3.1191138688488774E-4</v>
      </c>
      <c r="Q23" s="140">
        <f t="shared" si="1"/>
        <v>7.0144554745525569E-4</v>
      </c>
      <c r="R23" s="135">
        <f t="shared" si="2"/>
        <v>0.79939357602813355</v>
      </c>
    </row>
    <row r="24" spans="3:18" x14ac:dyDescent="0.2">
      <c r="J24" s="142">
        <v>2.72</v>
      </c>
      <c r="K24" s="143">
        <f>IF(ISBLANK(Xbar_R!$D$2), Xbar_R!$F$2-(J24*Formulas!$C$15), Xbar_R!$D$2-(J24*Formulas!$C$15))</f>
        <v>3.4303091860131842</v>
      </c>
      <c r="L24" s="143">
        <f>IF(ISBLANK(Xbar_R!$D$2), NORMDIST(K24, Xbar_R!$F$2, Formulas!$C$15, FALSE), NORMDIST(K24, Xbar_R!$D$2, Formulas!$C$15, FALSE))</f>
        <v>8.7788320764407707E-3</v>
      </c>
      <c r="M24" s="143">
        <f t="shared" si="0"/>
        <v>1.977964562585242E-2</v>
      </c>
      <c r="N24" s="140">
        <f>+IF(K24&gt;=(Formulas!$D$4), M24, 0)</f>
        <v>0</v>
      </c>
      <c r="O24" s="147">
        <f>+IF(K24&lt;=(Formulas!$D$3), M24, 0)</f>
        <v>1.977964562585242E-2</v>
      </c>
      <c r="P24" s="147">
        <f>NORMDIST(K24,Xbar_R!$I$2,Xbar_R!$K$2/3,FALSE)</f>
        <v>3.5542433781603048E-4</v>
      </c>
      <c r="Q24" s="140">
        <f t="shared" si="1"/>
        <v>7.9930015286776464E-4</v>
      </c>
      <c r="R24" s="135">
        <f t="shared" si="2"/>
        <v>0.79939357602813355</v>
      </c>
    </row>
    <row r="25" spans="3:18" x14ac:dyDescent="0.2">
      <c r="J25" s="142">
        <v>2.7</v>
      </c>
      <c r="K25" s="143">
        <f>IF(ISBLANK(Xbar_R!$D$2), Xbar_R!$F$2-(J25*Formulas!$C$15), Xbar_R!$D$2-(J25*Formulas!$C$15))</f>
        <v>3.4527977214101462</v>
      </c>
      <c r="L25" s="143">
        <f>IF(ISBLANK(Xbar_R!$D$2), NORMDIST(K25, Xbar_R!$F$2, Formulas!$C$15, FALSE), NORMDIST(K25, Xbar_R!$D$2, Formulas!$C$15, FALSE))</f>
        <v>9.2677754513354575E-3</v>
      </c>
      <c r="M25" s="143">
        <f t="shared" si="0"/>
        <v>2.0881287234020215E-2</v>
      </c>
      <c r="N25" s="140">
        <f>+IF(K25&gt;=(Formulas!$D$4), M25, 0)</f>
        <v>0</v>
      </c>
      <c r="O25" s="147">
        <f>+IF(K25&lt;=(Formulas!$D$3), M25, 0)</f>
        <v>2.0881287234020215E-2</v>
      </c>
      <c r="P25" s="147">
        <f>NORMDIST(K25,Xbar_R!$I$2,Xbar_R!$K$2/3,FALSE)</f>
        <v>4.0454693172396815E-4</v>
      </c>
      <c r="Q25" s="140">
        <f t="shared" si="1"/>
        <v>9.0977006908435961E-4</v>
      </c>
      <c r="R25" s="135">
        <f t="shared" si="2"/>
        <v>0.79939357602813355</v>
      </c>
    </row>
    <row r="26" spans="3:18" x14ac:dyDescent="0.2">
      <c r="J26" s="142">
        <v>2.68</v>
      </c>
      <c r="K26" s="143">
        <f>IF(ISBLANK(Xbar_R!$D$2), Xbar_R!$F$2-(J26*Formulas!$C$15), Xbar_R!$D$2-(J26*Formulas!$C$15))</f>
        <v>3.4752862568071081</v>
      </c>
      <c r="L26" s="143">
        <f>IF(ISBLANK(Xbar_R!$D$2), NORMDIST(K26, Xbar_R!$F$2, Formulas!$C$15, FALSE), NORMDIST(K26, Xbar_R!$D$2, Formulas!$C$15, FALSE))</f>
        <v>9.7800380818852412E-3</v>
      </c>
      <c r="M26" s="143">
        <f t="shared" si="0"/>
        <v>2.2035469614024195E-2</v>
      </c>
      <c r="N26" s="140">
        <f>+IF(K26&gt;=(Formulas!$D$4), M26, 0)</f>
        <v>0</v>
      </c>
      <c r="O26" s="147">
        <f>+IF(K26&lt;=(Formulas!$D$3), M26, 0)</f>
        <v>2.2035469614024195E-2</v>
      </c>
      <c r="P26" s="147">
        <f>NORMDIST(K26,Xbar_R!$I$2,Xbar_R!$K$2/3,FALSE)</f>
        <v>4.5993501702514016E-4</v>
      </c>
      <c r="Q26" s="140">
        <f t="shared" si="1"/>
        <v>1.0343302084386738E-3</v>
      </c>
      <c r="R26" s="135">
        <f t="shared" si="2"/>
        <v>0.79939357602813355</v>
      </c>
    </row>
    <row r="27" spans="3:18" x14ac:dyDescent="0.2">
      <c r="J27" s="142">
        <v>2.66</v>
      </c>
      <c r="K27" s="143">
        <f>IF(ISBLANK(Xbar_R!$D$2), Xbar_R!$F$2-(J27*Formulas!$C$15), Xbar_R!$D$2-(J27*Formulas!$C$15))</f>
        <v>3.4977747922040701</v>
      </c>
      <c r="L27" s="143">
        <f>IF(ISBLANK(Xbar_R!$D$2), NORMDIST(K27, Xbar_R!$F$2, Formulas!$C$15, FALSE), NORMDIST(K27, Xbar_R!$D$2, Formulas!$C$15, FALSE))</f>
        <v>1.0316487853868595E-2</v>
      </c>
      <c r="M27" s="143">
        <f t="shared" si="0"/>
        <v>2.3244148205152006E-2</v>
      </c>
      <c r="N27" s="140">
        <f>+IF(K27&gt;=(Formulas!$D$4), M27, 0)</f>
        <v>0</v>
      </c>
      <c r="O27" s="147">
        <f>+IF(K27&lt;=(Formulas!$D$3), M27, 0)</f>
        <v>2.3244148205152006E-2</v>
      </c>
      <c r="P27" s="147">
        <f>NORMDIST(K27,Xbar_R!$I$2,Xbar_R!$K$2/3,FALSE)</f>
        <v>5.223118213914372E-4</v>
      </c>
      <c r="Q27" s="140">
        <f t="shared" si="1"/>
        <v>1.1746070098860484E-3</v>
      </c>
      <c r="R27" s="135">
        <f t="shared" si="2"/>
        <v>0.79939357602813355</v>
      </c>
    </row>
    <row r="28" spans="3:18" x14ac:dyDescent="0.2">
      <c r="J28" s="142">
        <v>2.64</v>
      </c>
      <c r="K28" s="143">
        <f>IF(ISBLANK(Xbar_R!$D$2), Xbar_R!$F$2-(J28*Formulas!$C$15), Xbar_R!$D$2-(J28*Formulas!$C$15))</f>
        <v>3.520263327601032</v>
      </c>
      <c r="L28" s="143">
        <f>IF(ISBLANK(Xbar_R!$D$2), NORMDIST(K28, Xbar_R!$F$2, Formulas!$C$15, FALSE), NORMDIST(K28, Xbar_R!$D$2, Formulas!$C$15, FALSE))</f>
        <v>1.0878010626632809E-2</v>
      </c>
      <c r="M28" s="143">
        <f t="shared" si="0"/>
        <v>2.4509318943060139E-2</v>
      </c>
      <c r="N28" s="140">
        <f>+IF(K28&gt;=(Formulas!$D$4), M28, 0)</f>
        <v>0</v>
      </c>
      <c r="O28" s="147">
        <f>+IF(K28&lt;=(Formulas!$D$3), M28, 0)</f>
        <v>2.4509318943060139E-2</v>
      </c>
      <c r="P28" s="147">
        <f>NORMDIST(K28,Xbar_R!$I$2,Xbar_R!$K$2/3,FALSE)</f>
        <v>5.9247366387923321E-4</v>
      </c>
      <c r="Q28" s="140">
        <f t="shared" si="1"/>
        <v>1.3323912847912937E-3</v>
      </c>
      <c r="R28" s="135">
        <f t="shared" si="2"/>
        <v>0.79939357602813355</v>
      </c>
    </row>
    <row r="29" spans="3:18" x14ac:dyDescent="0.2">
      <c r="J29" s="142">
        <v>2.62</v>
      </c>
      <c r="K29" s="143">
        <f>IF(ISBLANK(Xbar_R!$D$2), Xbar_R!$F$2-(J29*Formulas!$C$15), Xbar_R!$D$2-(J29*Formulas!$C$15))</f>
        <v>3.5427518629979939</v>
      </c>
      <c r="L29" s="143">
        <f>IF(ISBLANK(Xbar_R!$D$2), NORMDIST(K29, Xbar_R!$F$2, Formulas!$C$15, FALSE), NORMDIST(K29, Xbar_R!$D$2, Formulas!$C$15, FALSE))</f>
        <v>1.1465509763376571E-2</v>
      </c>
      <c r="M29" s="143">
        <f t="shared" si="0"/>
        <v>2.5833017201450471E-2</v>
      </c>
      <c r="N29" s="140">
        <f>+IF(K29&gt;=(Formulas!$D$4), M29, 0)</f>
        <v>0</v>
      </c>
      <c r="O29" s="147">
        <f>+IF(K29&lt;=(Formulas!$D$3), M29, 0)</f>
        <v>2.5833017201450471E-2</v>
      </c>
      <c r="P29" s="147">
        <f>NORMDIST(K29,Xbar_R!$I$2,Xbar_R!$K$2/3,FALSE)</f>
        <v>6.7129600193253968E-4</v>
      </c>
      <c r="Q29" s="140">
        <f t="shared" si="1"/>
        <v>1.509651815802012E-3</v>
      </c>
      <c r="R29" s="135">
        <f t="shared" si="2"/>
        <v>0.79939357602813355</v>
      </c>
    </row>
    <row r="30" spans="3:18" x14ac:dyDescent="0.2">
      <c r="J30" s="142">
        <v>2.6</v>
      </c>
      <c r="K30" s="143">
        <f>IF(ISBLANK(Xbar_R!$D$2), Xbar_R!$F$2-(J30*Formulas!$C$15), Xbar_R!$D$2-(J30*Formulas!$C$15))</f>
        <v>3.5652403983949559</v>
      </c>
      <c r="L30" s="143">
        <f>IF(ISBLANK(Xbar_R!$D$2), NORMDIST(K30, Xbar_R!$F$2, Formulas!$C$15, FALSE), NORMDIST(K30, Xbar_R!$D$2, Formulas!$C$15, FALSE))</f>
        <v>1.207990559982899E-2</v>
      </c>
      <c r="M30" s="143">
        <f t="shared" si="0"/>
        <v>2.7217316594947367E-2</v>
      </c>
      <c r="N30" s="140">
        <f>+IF(K30&gt;=(Formulas!$D$4), M30, 0)</f>
        <v>0</v>
      </c>
      <c r="O30" s="147">
        <f>+IF(K30&lt;=(Formulas!$D$3), M30, 0)</f>
        <v>2.7217316594947367E-2</v>
      </c>
      <c r="P30" s="147">
        <f>NORMDIST(K30,Xbar_R!$I$2,Xbar_R!$K$2/3,FALSE)</f>
        <v>7.5973981467888842E-4</v>
      </c>
      <c r="Q30" s="140">
        <f t="shared" si="1"/>
        <v>1.7085497119977296E-3</v>
      </c>
      <c r="R30" s="135">
        <f t="shared" si="2"/>
        <v>0.79939357602813355</v>
      </c>
    </row>
    <row r="31" spans="3:18" x14ac:dyDescent="0.2">
      <c r="J31" s="142">
        <v>2.58</v>
      </c>
      <c r="K31" s="143">
        <f>IF(ISBLANK(Xbar_R!$D$2), Xbar_R!$F$2-(J31*Formulas!$C$15), Xbar_R!$D$2-(J31*Formulas!$C$15))</f>
        <v>3.5877289337919178</v>
      </c>
      <c r="L31" s="143">
        <f>IF(ISBLANK(Xbar_R!$D$2), NORMDIST(K31, Xbar_R!$F$2, Formulas!$C$15, FALSE), NORMDIST(K31, Xbar_R!$D$2, Formulas!$C$15, FALSE))</f>
        <v>1.2722134849281698E-2</v>
      </c>
      <c r="M31" s="143">
        <f t="shared" si="0"/>
        <v>2.8664327638571522E-2</v>
      </c>
      <c r="N31" s="140">
        <f>+IF(K31&gt;=(Formulas!$D$4), M31, 0)</f>
        <v>0</v>
      </c>
      <c r="O31" s="147">
        <f>+IF(K31&lt;=(Formulas!$D$3), M31, 0)</f>
        <v>2.8664327638571522E-2</v>
      </c>
      <c r="P31" s="147">
        <f>NORMDIST(K31,Xbar_R!$I$2,Xbar_R!$K$2/3,FALSE)</f>
        <v>8.5885832127647124E-4</v>
      </c>
      <c r="Q31" s="140">
        <f t="shared" si="1"/>
        <v>1.9314535175229438E-3</v>
      </c>
      <c r="R31" s="135">
        <f t="shared" si="2"/>
        <v>0.79939357602813355</v>
      </c>
    </row>
    <row r="32" spans="3:18" x14ac:dyDescent="0.2">
      <c r="J32" s="142">
        <v>2.56</v>
      </c>
      <c r="K32" s="143">
        <f>IF(ISBLANK(Xbar_R!$D$2), Xbar_R!$F$2-(J32*Formulas!$C$15), Xbar_R!$D$2-(J32*Formulas!$C$15))</f>
        <v>3.6102174691888798</v>
      </c>
      <c r="L32" s="143">
        <f>IF(ISBLANK(Xbar_R!$D$2), NORMDIST(K32, Xbar_R!$F$2, Formulas!$C$15, FALSE), NORMDIST(K32, Xbar_R!$D$2, Formulas!$C$15, FALSE))</f>
        <v>1.3393149942002847E-2</v>
      </c>
      <c r="M32" s="143">
        <f t="shared" si="0"/>
        <v>3.0176196259369188E-2</v>
      </c>
      <c r="N32" s="140">
        <f>+IF(K32&gt;=(Formulas!$D$4), M32, 0)</f>
        <v>0</v>
      </c>
      <c r="O32" s="147">
        <f>+IF(K32&lt;=(Formulas!$D$3), M32, 0)</f>
        <v>3.0176196259369188E-2</v>
      </c>
      <c r="P32" s="147">
        <f>NORMDIST(K32,Xbar_R!$I$2,Xbar_R!$K$2/3,FALSE)</f>
        <v>9.6980403006586429E-4</v>
      </c>
      <c r="Q32" s="140">
        <f t="shared" si="1"/>
        <v>2.1809550641539036E-3</v>
      </c>
      <c r="R32" s="135">
        <f t="shared" si="2"/>
        <v>0.79939357602813355</v>
      </c>
    </row>
    <row r="33" spans="10:18" x14ac:dyDescent="0.2">
      <c r="J33" s="142">
        <v>2.54</v>
      </c>
      <c r="K33" s="143">
        <f>IF(ISBLANK(Xbar_R!$D$2), Xbar_R!$F$2-(J33*Formulas!$C$15), Xbar_R!$D$2-(J33*Formulas!$C$15))</f>
        <v>3.6327060045858413</v>
      </c>
      <c r="L33" s="143">
        <f>IF(ISBLANK(Xbar_R!$D$2), NORMDIST(K33, Xbar_R!$F$2, Formulas!$C$15, FALSE), NORMDIST(K33, Xbar_R!$D$2, Formulas!$C$15, FALSE))</f>
        <v>1.4093918297144212E-2</v>
      </c>
      <c r="M33" s="143">
        <f t="shared" si="0"/>
        <v>3.1755102155941184E-2</v>
      </c>
      <c r="N33" s="140">
        <f>+IF(K33&gt;=(Formulas!$D$4), M33, 0)</f>
        <v>0</v>
      </c>
      <c r="O33" s="147">
        <f>+IF(K33&lt;=(Formulas!$D$3), M33, 0)</f>
        <v>3.1755102155941184E-2</v>
      </c>
      <c r="P33" s="147">
        <f>NORMDIST(K33,Xbar_R!$I$2,Xbar_R!$K$2/3,FALSE)</f>
        <v>1.0938361109162379E-3</v>
      </c>
      <c r="Q33" s="140">
        <f t="shared" si="1"/>
        <v>2.4598860506850661E-3</v>
      </c>
      <c r="R33" s="135">
        <f t="shared" si="2"/>
        <v>0.79939357602813355</v>
      </c>
    </row>
    <row r="34" spans="10:18" x14ac:dyDescent="0.2">
      <c r="J34" s="142">
        <v>2.52</v>
      </c>
      <c r="K34" s="143">
        <f>IF(ISBLANK(Xbar_R!$D$2), Xbar_R!$F$2-(J34*Formulas!$C$15), Xbar_R!$D$2-(J34*Formulas!$C$15))</f>
        <v>3.6551945399828032</v>
      </c>
      <c r="L34" s="143">
        <f>IF(ISBLANK(Xbar_R!$D$2), NORMDIST(K34, Xbar_R!$F$2, Formulas!$C$15, FALSE), NORMDIST(K34, Xbar_R!$D$2, Formulas!$C$15, FALSE))</f>
        <v>1.4825421525345866E-2</v>
      </c>
      <c r="M34" s="143">
        <f t="shared" si="0"/>
        <v>3.3403257001826094E-2</v>
      </c>
      <c r="N34" s="140">
        <f>+IF(K34&gt;=(Formulas!$D$4), M34, 0)</f>
        <v>0</v>
      </c>
      <c r="O34" s="147">
        <f>+IF(K34&lt;=(Formulas!$D$3), M34, 0)</f>
        <v>3.3403257001826094E-2</v>
      </c>
      <c r="P34" s="147">
        <f>NORMDIST(K34,Xbar_R!$I$2,Xbar_R!$K$2/3,FALSE)</f>
        <v>1.2323280794231996E-3</v>
      </c>
      <c r="Q34" s="140">
        <f t="shared" si="1"/>
        <v>2.7713353236267215E-3</v>
      </c>
      <c r="R34" s="135">
        <f t="shared" si="2"/>
        <v>0.79939357602813355</v>
      </c>
    </row>
    <row r="35" spans="10:18" x14ac:dyDescent="0.2">
      <c r="J35" s="142">
        <v>2.5</v>
      </c>
      <c r="K35" s="143">
        <f>IF(ISBLANK(Xbar_R!$D$2), Xbar_R!$F$2-(J35*Formulas!$C$15), Xbar_R!$D$2-(J35*Formulas!$C$15))</f>
        <v>3.6776830753797651</v>
      </c>
      <c r="L35" s="143">
        <f>IF(ISBLANK(Xbar_R!$D$2), NORMDIST(K35, Xbar_R!$F$2, Formulas!$C$15, FALSE), NORMDIST(K35, Xbar_R!$D$2, Formulas!$C$15, FALSE))</f>
        <v>1.5588654560346823E-2</v>
      </c>
      <c r="M35" s="143">
        <f t="shared" si="0"/>
        <v>3.5122902488926397E-2</v>
      </c>
      <c r="N35" s="140">
        <f>+IF(K35&gt;=(Formulas!$D$4), M35, 0)</f>
        <v>0</v>
      </c>
      <c r="O35" s="147">
        <f>+IF(K35&lt;=(Formulas!$D$3), M35, 0)</f>
        <v>3.5122902488926397E-2</v>
      </c>
      <c r="P35" s="147">
        <f>NORMDIST(K35,Xbar_R!$I$2,Xbar_R!$K$2/3,FALSE)</f>
        <v>1.3867757775058568E-3</v>
      </c>
      <c r="Q35" s="140">
        <f t="shared" si="1"/>
        <v>3.1186668244634502E-3</v>
      </c>
      <c r="R35" s="135">
        <f t="shared" si="2"/>
        <v>0.79939357602813355</v>
      </c>
    </row>
    <row r="36" spans="10:18" x14ac:dyDescent="0.2">
      <c r="J36" s="142">
        <v>2.48</v>
      </c>
      <c r="K36" s="143">
        <f>IF(ISBLANK(Xbar_R!$D$2), Xbar_R!$F$2-(J36*Formulas!$C$15), Xbar_R!$D$2-(J36*Formulas!$C$15))</f>
        <v>3.7001716107767271</v>
      </c>
      <c r="L36" s="143">
        <f>IF(ISBLANK(Xbar_R!$D$2), NORMDIST(K36, Xbar_R!$F$2, Formulas!$C$15, FALSE), NORMDIST(K36, Xbar_R!$D$2, Formulas!$C$15, FALSE))</f>
        <v>1.6384624718024963E-2</v>
      </c>
      <c r="M36" s="143">
        <f t="shared" si="0"/>
        <v>3.6916308207424954E-2</v>
      </c>
      <c r="N36" s="140">
        <f>+IF(K36&gt;=(Formulas!$D$4), M36, 0)</f>
        <v>0</v>
      </c>
      <c r="O36" s="147">
        <f>+IF(K36&lt;=(Formulas!$D$3), M36, 0)</f>
        <v>3.6916308207424954E-2</v>
      </c>
      <c r="P36" s="147">
        <f>NORMDIST(K36,Xbar_R!$I$2,Xbar_R!$K$2/3,FALSE)</f>
        <v>1.5588056304600435E-3</v>
      </c>
      <c r="Q36" s="140">
        <f t="shared" si="1"/>
        <v>3.505538158624233E-3</v>
      </c>
      <c r="R36" s="135">
        <f t="shared" si="2"/>
        <v>0.79939357602813355</v>
      </c>
    </row>
    <row r="37" spans="10:18" x14ac:dyDescent="0.2">
      <c r="J37" s="142">
        <v>2.46</v>
      </c>
      <c r="K37" s="143">
        <f>IF(ISBLANK(Xbar_R!$D$2), Xbar_R!$F$2-(J37*Formulas!$C$15), Xbar_R!$D$2-(J37*Formulas!$C$15))</f>
        <v>3.722660146173689</v>
      </c>
      <c r="L37" s="143">
        <f>IF(ISBLANK(Xbar_R!$D$2), NORMDIST(K37, Xbar_R!$F$2, Formulas!$C$15, FALSE), NORMDIST(K37, Xbar_R!$D$2, Formulas!$C$15, FALSE))</f>
        <v>1.7214350681416028E-2</v>
      </c>
      <c r="M37" s="143">
        <f t="shared" si="0"/>
        <v>3.878576935892452E-2</v>
      </c>
      <c r="N37" s="140">
        <f>+IF(K37&gt;=(Formulas!$D$4), M37, 0)</f>
        <v>0</v>
      </c>
      <c r="O37" s="147">
        <f>+IF(K37&lt;=(Formulas!$D$3), M37, 0)</f>
        <v>3.878576935892452E-2</v>
      </c>
      <c r="P37" s="147">
        <f>NORMDIST(K37,Xbar_R!$I$2,Xbar_R!$K$2/3,FALSE)</f>
        <v>1.7501831556525249E-3</v>
      </c>
      <c r="Q37" s="140">
        <f t="shared" si="1"/>
        <v>3.9359197303583055E-3</v>
      </c>
      <c r="R37" s="135">
        <f t="shared" si="2"/>
        <v>0.79939357602813355</v>
      </c>
    </row>
    <row r="38" spans="10:18" x14ac:dyDescent="0.2">
      <c r="J38" s="142">
        <v>2.44</v>
      </c>
      <c r="K38" s="143">
        <f>IF(ISBLANK(Xbar_R!$D$2), Xbar_R!$F$2-(J38*Formulas!$C$15), Xbar_R!$D$2-(J38*Formulas!$C$15))</f>
        <v>3.745148681570651</v>
      </c>
      <c r="L38" s="143">
        <f>IF(ISBLANK(Xbar_R!$D$2), NORMDIST(K38, Xbar_R!$F$2, Formulas!$C$15, FALSE), NORMDIST(K38, Xbar_R!$D$2, Formulas!$C$15, FALSE))</f>
        <v>1.8078861410398585E-2</v>
      </c>
      <c r="M38" s="143">
        <f t="shared" si="0"/>
        <v>4.0733604299851553E-2</v>
      </c>
      <c r="N38" s="140">
        <f>+IF(K38&gt;=(Formulas!$D$4), M38, 0)</f>
        <v>0</v>
      </c>
      <c r="O38" s="147">
        <f>+IF(K38&lt;=(Formulas!$D$3), M38, 0)</f>
        <v>4.0733604299851553E-2</v>
      </c>
      <c r="P38" s="147">
        <f>NORMDIST(K38,Xbar_R!$I$2,Xbar_R!$K$2/3,FALSE)</f>
        <v>1.9628216927923777E-3</v>
      </c>
      <c r="Q38" s="140">
        <f t="shared" si="1"/>
        <v>4.4141143759074096E-3</v>
      </c>
      <c r="R38" s="135">
        <f t="shared" si="2"/>
        <v>0.79939357602813355</v>
      </c>
    </row>
    <row r="39" spans="10:18" x14ac:dyDescent="0.2">
      <c r="J39" s="142">
        <v>2.42</v>
      </c>
      <c r="K39" s="143">
        <f>IF(ISBLANK(Xbar_R!$D$2), Xbar_R!$F$2-(J39*Formulas!$C$15), Xbar_R!$D$2-(J39*Formulas!$C$15))</f>
        <v>3.7676372169676129</v>
      </c>
      <c r="L39" s="143">
        <f>IF(ISBLANK(Xbar_R!$D$2), NORMDIST(K39, Xbar_R!$F$2, Formulas!$C$15, FALSE), NORMDIST(K39, Xbar_R!$D$2, Formulas!$C$15, FALSE))</f>
        <v>1.8979194974881142E-2</v>
      </c>
      <c r="M39" s="143">
        <f t="shared" ref="M39:M67" si="3">100*(L39/$L$317)</f>
        <v>4.2762151912502273E-2</v>
      </c>
      <c r="N39" s="140">
        <f>+IF(K39&gt;=(Formulas!$D$4), M39, 0)</f>
        <v>0</v>
      </c>
      <c r="O39" s="147">
        <f>+IF(K39&lt;=(Formulas!$D$3), M39, 0)</f>
        <v>4.2762151912502273E-2</v>
      </c>
      <c r="P39" s="147">
        <f>NORMDIST(K39,Xbar_R!$I$2,Xbar_R!$K$2/3,FALSE)</f>
        <v>2.1987913200994303E-3</v>
      </c>
      <c r="Q39" s="140">
        <f t="shared" ref="Q39:Q68" si="4">100*(P39/$P$317)</f>
        <v>4.9447774147348255E-3</v>
      </c>
      <c r="R39" s="135">
        <f t="shared" si="2"/>
        <v>0.79939357602813355</v>
      </c>
    </row>
    <row r="40" spans="10:18" x14ac:dyDescent="0.2">
      <c r="J40" s="142">
        <v>2.4</v>
      </c>
      <c r="K40" s="143">
        <f>IF(ISBLANK(Xbar_R!$D$2), Xbar_R!$F$2-(J40*Formulas!$C$15), Xbar_R!$D$2-(J40*Formulas!$C$15))</f>
        <v>3.7901257523645748</v>
      </c>
      <c r="L40" s="143">
        <f>IF(ISBLANK(Xbar_R!$D$2), NORMDIST(K40, Xbar_R!$F$2, Formulas!$C$15, FALSE), NORMDIST(K40, Xbar_R!$D$2, Formulas!$C$15, FALSE))</f>
        <v>1.9916397310487652E-2</v>
      </c>
      <c r="M40" s="143">
        <f t="shared" si="3"/>
        <v>4.4873768801469323E-2</v>
      </c>
      <c r="N40" s="140">
        <f>+IF(K40&gt;=(Formulas!$D$4), M40, 0)</f>
        <v>0</v>
      </c>
      <c r="O40" s="147">
        <f>+IF(K40&lt;=(Formulas!$D$3), M40, 0)</f>
        <v>4.4873768801469323E-2</v>
      </c>
      <c r="P40" s="147">
        <f>NORMDIST(K40,Xbar_R!$I$2,Xbar_R!$K$2/3,FALSE)</f>
        <v>2.4603279147216049E-3</v>
      </c>
      <c r="Q40" s="140">
        <f t="shared" si="4"/>
        <v>5.5329370251501996E-3</v>
      </c>
      <c r="R40" s="135">
        <f t="shared" si="2"/>
        <v>0.79939357602813355</v>
      </c>
    </row>
    <row r="41" spans="10:18" x14ac:dyDescent="0.2">
      <c r="J41" s="142">
        <v>2.38</v>
      </c>
      <c r="K41" s="143">
        <f>IF(ISBLANK(Xbar_R!$D$2), Xbar_R!$F$2-(J41*Formulas!$C$15), Xbar_R!$D$2-(J41*Formulas!$C$15))</f>
        <v>3.8126142877615368</v>
      </c>
      <c r="L41" s="143">
        <f>IF(ISBLANK(Xbar_R!$D$2), NORMDIST(K41, Xbar_R!$F$2, Formulas!$C$15, FALSE), NORMDIST(K41, Xbar_R!$D$2, Formulas!$C$15, FALSE))</f>
        <v>2.0891520895909399E-2</v>
      </c>
      <c r="M41" s="143">
        <f t="shared" si="3"/>
        <v>4.707082631357435E-2</v>
      </c>
      <c r="N41" s="140">
        <f>+IF(K41&gt;=(Formulas!$D$4), M41, 0)</f>
        <v>0</v>
      </c>
      <c r="O41" s="147">
        <f>+IF(K41&lt;=(Formulas!$D$3), M41, 0)</f>
        <v>4.707082631357435E-2</v>
      </c>
      <c r="P41" s="147">
        <f>NORMDIST(K41,Xbar_R!$I$2,Xbar_R!$K$2/3,FALSE)</f>
        <v>2.7498423094537293E-3</v>
      </c>
      <c r="Q41" s="140">
        <f t="shared" si="4"/>
        <v>6.1840148365030732E-3</v>
      </c>
      <c r="R41" s="135">
        <f t="shared" si="2"/>
        <v>0.79939357602813355</v>
      </c>
    </row>
    <row r="42" spans="10:18" x14ac:dyDescent="0.2">
      <c r="J42" s="142">
        <v>2.36</v>
      </c>
      <c r="K42" s="143">
        <f>IF(ISBLANK(Xbar_R!$D$2), Xbar_R!$F$2-(J42*Formulas!$C$15), Xbar_R!$D$2-(J42*Formulas!$C$15))</f>
        <v>3.8351028231584987</v>
      </c>
      <c r="L42" s="143">
        <f>IF(ISBLANK(Xbar_R!$D$2), NORMDIST(K42, Xbar_R!$F$2, Formulas!$C$15, FALSE), NORMDIST(K42, Xbar_R!$D$2, Formulas!$C$15, FALSE))</f>
        <v>2.1905623351274446E-2</v>
      </c>
      <c r="M42" s="143">
        <f t="shared" si="3"/>
        <v>4.9355707379844828E-2</v>
      </c>
      <c r="N42" s="140">
        <f>+IF(K42&gt;=(Formulas!$D$4), M42, 0)</f>
        <v>0</v>
      </c>
      <c r="O42" s="147">
        <f>+IF(K42&lt;=(Formulas!$D$3), M42, 0)</f>
        <v>4.9355707379844828E-2</v>
      </c>
      <c r="P42" s="147">
        <f>NORMDIST(K42,Xbar_R!$I$2,Xbar_R!$K$2/3,FALSE)</f>
        <v>3.0699294912084709E-3</v>
      </c>
      <c r="Q42" s="140">
        <f t="shared" si="4"/>
        <v>6.903846615271143E-3</v>
      </c>
      <c r="R42" s="135">
        <f t="shared" si="2"/>
        <v>0.79939357602813355</v>
      </c>
    </row>
    <row r="43" spans="10:18" x14ac:dyDescent="0.2">
      <c r="J43" s="142">
        <v>2.34</v>
      </c>
      <c r="K43" s="143">
        <f>IF(ISBLANK(Xbar_R!$D$2), Xbar_R!$F$2-(J43*Formulas!$C$15), Xbar_R!$D$2-(J43*Formulas!$C$15))</f>
        <v>3.8575913585554606</v>
      </c>
      <c r="L43" s="143">
        <f>IF(ISBLANK(Xbar_R!$D$2), NORMDIST(K43, Xbar_R!$F$2, Formulas!$C$15, FALSE), NORMDIST(K43, Xbar_R!$D$2, Formulas!$C$15, FALSE))</f>
        <v>2.2959765957079995E-2</v>
      </c>
      <c r="M43" s="143">
        <f t="shared" si="3"/>
        <v>5.1730803178510552E-2</v>
      </c>
      <c r="N43" s="140">
        <f>+IF(K43&gt;=(Formulas!$D$4), M43, 0)</f>
        <v>0</v>
      </c>
      <c r="O43" s="147">
        <f>+IF(K43&lt;=(Formulas!$D$3), M43, 0)</f>
        <v>5.1730803178510552E-2</v>
      </c>
      <c r="P43" s="147">
        <f>NORMDIST(K43,Xbar_R!$I$2,Xbar_R!$K$2/3,FALSE)</f>
        <v>3.4233777798197782E-3</v>
      </c>
      <c r="Q43" s="140">
        <f t="shared" si="4"/>
        <v>7.6987029069190633E-3</v>
      </c>
      <c r="R43" s="135">
        <f t="shared" si="2"/>
        <v>0.79939357602813355</v>
      </c>
    </row>
    <row r="44" spans="10:18" x14ac:dyDescent="0.2">
      <c r="J44" s="142">
        <v>2.3199999999999998</v>
      </c>
      <c r="K44" s="143">
        <f>IF(ISBLANK(Xbar_R!$D$2), Xbar_R!$F$2-(J44*Formulas!$C$15), Xbar_R!$D$2-(J44*Formulas!$C$15))</f>
        <v>3.8800798939524221</v>
      </c>
      <c r="L44" s="143">
        <f>IF(ISBLANK(Xbar_R!$D$2), NORMDIST(K44, Xbar_R!$F$2, Formulas!$C$15, FALSE), NORMDIST(K44, Xbar_R!$D$2, Formulas!$C$15, FALSE))</f>
        <v>2.4055012093438403E-2</v>
      </c>
      <c r="M44" s="143">
        <f t="shared" si="3"/>
        <v>5.4198509618458374E-2</v>
      </c>
      <c r="N44" s="140">
        <f>+IF(K44&gt;=(Formulas!$D$4), M44, 0)</f>
        <v>0</v>
      </c>
      <c r="O44" s="147">
        <f>+IF(K44&lt;=(Formulas!$D$3), M44, 0)</f>
        <v>5.4198509618458374E-2</v>
      </c>
      <c r="P44" s="147">
        <f>NORMDIST(K44,Xbar_R!$I$2,Xbar_R!$K$2/3,FALSE)</f>
        <v>3.8131779186634353E-3</v>
      </c>
      <c r="Q44" s="140">
        <f t="shared" si="4"/>
        <v>8.5753094794461249E-3</v>
      </c>
      <c r="R44" s="135">
        <f t="shared" si="2"/>
        <v>0.79939357602813355</v>
      </c>
    </row>
    <row r="45" spans="10:18" x14ac:dyDescent="0.2">
      <c r="J45" s="142">
        <v>2.2999999999999998</v>
      </c>
      <c r="K45" s="143">
        <f>IF(ISBLANK(Xbar_R!$D$2), Xbar_R!$F$2-(J45*Formulas!$C$15), Xbar_R!$D$2-(J45*Formulas!$C$15))</f>
        <v>3.9025684293493841</v>
      </c>
      <c r="L45" s="143">
        <f>IF(ISBLANK(Xbar_R!$D$2), NORMDIST(K45, Xbar_R!$F$2, Formulas!$C$15, FALSE), NORMDIST(K45, Xbar_R!$D$2, Formulas!$C$15, FALSE))</f>
        <v>2.5192425599604024E-2</v>
      </c>
      <c r="M45" s="143">
        <f t="shared" si="3"/>
        <v>5.676122364307104E-2</v>
      </c>
      <c r="N45" s="140">
        <f>+IF(K45&gt;=(Formulas!$D$4), M45, 0)</f>
        <v>0</v>
      </c>
      <c r="O45" s="147">
        <f>+IF(K45&lt;=(Formulas!$D$3), M45, 0)</f>
        <v>5.676122364307104E-2</v>
      </c>
      <c r="P45" s="147">
        <f>NORMDIST(K45,Xbar_R!$I$2,Xbar_R!$K$2/3,FALSE)</f>
        <v>4.2425320013076808E-3</v>
      </c>
      <c r="Q45" s="140">
        <f t="shared" si="4"/>
        <v>9.5408673981882495E-3</v>
      </c>
      <c r="R45" s="135">
        <f t="shared" si="2"/>
        <v>0.79939357602813355</v>
      </c>
    </row>
    <row r="46" spans="10:18" x14ac:dyDescent="0.2">
      <c r="J46" s="142">
        <v>2.2799999999999998</v>
      </c>
      <c r="K46" s="143">
        <f>IF(ISBLANK(Xbar_R!$D$2), Xbar_R!$F$2-(J46*Formulas!$C$15), Xbar_R!$D$2-(J46*Formulas!$C$15))</f>
        <v>3.925056964746346</v>
      </c>
      <c r="L46" s="143">
        <f>IF(ISBLANK(Xbar_R!$D$2), NORMDIST(K46, Xbar_R!$F$2, Formulas!$C$15, FALSE), NORMDIST(K46, Xbar_R!$D$2, Formulas!$C$15, FALSE))</f>
        <v>2.6373069053974501E-2</v>
      </c>
      <c r="M46" s="143">
        <f t="shared" si="3"/>
        <v>5.9421339354886568E-2</v>
      </c>
      <c r="N46" s="140">
        <f>+IF(K46&gt;=(Formulas!$D$4), M46, 0)</f>
        <v>0</v>
      </c>
      <c r="O46" s="147">
        <f>+IF(K46&lt;=(Formulas!$D$3), M46, 0)</f>
        <v>5.9421339354886568E-2</v>
      </c>
      <c r="P46" s="147">
        <f>NORMDIST(K46,Xbar_R!$I$2,Xbar_R!$K$2/3,FALSE)</f>
        <v>4.7148621510175641E-3</v>
      </c>
      <c r="Q46" s="140">
        <f t="shared" si="4"/>
        <v>1.0603072544822236E-2</v>
      </c>
      <c r="R46" s="135">
        <f t="shared" si="2"/>
        <v>0.79939357602813355</v>
      </c>
    </row>
    <row r="47" spans="10:18" x14ac:dyDescent="0.2">
      <c r="J47" s="142">
        <v>2.2599999999999998</v>
      </c>
      <c r="K47" s="143">
        <f>IF(ISBLANK(Xbar_R!$D$2), Xbar_R!$F$2-(J47*Formulas!$C$15), Xbar_R!$D$2-(J47*Formulas!$C$15))</f>
        <v>3.947545500143308</v>
      </c>
      <c r="L47" s="143">
        <f>IF(ISBLANK(Xbar_R!$D$2), NORMDIST(K47, Xbar_R!$F$2, Formulas!$C$15, FALSE), NORMDIST(K47, Xbar_R!$D$2, Formulas!$C$15, FALSE))</f>
        <v>2.7598001974997954E-2</v>
      </c>
      <c r="M47" s="143">
        <f t="shared" si="3"/>
        <v>6.2181243962050138E-2</v>
      </c>
      <c r="N47" s="140">
        <f>+IF(K47&gt;=(Formulas!$D$4), M47, 0)</f>
        <v>0</v>
      </c>
      <c r="O47" s="147">
        <f>+IF(K47&lt;=(Formulas!$D$3), M47, 0)</f>
        <v>6.2181243962050138E-2</v>
      </c>
      <c r="P47" s="147">
        <f>NORMDIST(K47,Xbar_R!$I$2,Xbar_R!$K$2/3,FALSE)</f>
        <v>5.2338188624963949E-3</v>
      </c>
      <c r="Q47" s="140">
        <f t="shared" si="4"/>
        <v>1.1770134376787962E-2</v>
      </c>
      <c r="R47" s="135">
        <f t="shared" si="2"/>
        <v>0.79939357602813355</v>
      </c>
    </row>
    <row r="48" spans="10:18" x14ac:dyDescent="0.2">
      <c r="J48" s="142">
        <v>2.2400000000000002</v>
      </c>
      <c r="K48" s="143">
        <f>IF(ISBLANK(Xbar_R!$D$2), Xbar_R!$F$2-(J48*Formulas!$C$15), Xbar_R!$D$2-(J48*Formulas!$C$15))</f>
        <v>3.9700340355402695</v>
      </c>
      <c r="L48" s="143">
        <f>IF(ISBLANK(Xbar_R!$D$2), NORMDIST(K48, Xbar_R!$F$2, Formulas!$C$15, FALSE), NORMDIST(K48, Xbar_R!$D$2, Formulas!$C$15, FALSE))</f>
        <v>2.8868278943663627E-2</v>
      </c>
      <c r="M48" s="143">
        <f t="shared" si="3"/>
        <v>6.5043313548085083E-2</v>
      </c>
      <c r="N48" s="140">
        <f>+IF(K48&gt;=(Formulas!$D$4), M48, 0)</f>
        <v>0</v>
      </c>
      <c r="O48" s="147">
        <f>+IF(K48&lt;=(Formulas!$D$3), M48, 0)</f>
        <v>6.5043313548085083E-2</v>
      </c>
      <c r="P48" s="147">
        <f>NORMDIST(K48,Xbar_R!$I$2,Xbar_R!$K$2/3,FALSE)</f>
        <v>5.8032889078295357E-3</v>
      </c>
      <c r="Q48" s="140">
        <f t="shared" si="4"/>
        <v>1.3050793706661975E-2</v>
      </c>
      <c r="R48" s="135">
        <f t="shared" si="2"/>
        <v>0.79939357602813355</v>
      </c>
    </row>
    <row r="49" spans="10:18" x14ac:dyDescent="0.2">
      <c r="J49" s="142">
        <v>2.2200000000000002</v>
      </c>
      <c r="K49" s="143">
        <f>IF(ISBLANK(Xbar_R!$D$2), Xbar_R!$F$2-(J49*Formulas!$C$15), Xbar_R!$D$2-(J49*Formulas!$C$15))</f>
        <v>3.9925225709372314</v>
      </c>
      <c r="L49" s="143">
        <f>IF(ISBLANK(Xbar_R!$D$2), NORMDIST(K49, Xbar_R!$F$2, Formulas!$C$15, FALSE), NORMDIST(K49, Xbar_R!$D$2, Formulas!$C$15, FALSE))</f>
        <v>3.018494764851112E-2</v>
      </c>
      <c r="M49" s="143">
        <f t="shared" si="3"/>
        <v>6.8009908667090044E-2</v>
      </c>
      <c r="N49" s="140">
        <f>+IF(K49&gt;=(Formulas!$D$4), M49, 0)</f>
        <v>0</v>
      </c>
      <c r="O49" s="147">
        <f>+IF(K49&lt;=(Formulas!$D$3), M49, 0)</f>
        <v>6.8009908667090044E-2</v>
      </c>
      <c r="P49" s="147">
        <f>NORMDIST(K49,Xbar_R!$I$2,Xbar_R!$K$2/3,FALSE)</f>
        <v>6.4274027012845179E-3</v>
      </c>
      <c r="Q49" s="140">
        <f t="shared" si="4"/>
        <v>1.4454339264573818E-2</v>
      </c>
      <c r="R49" s="135">
        <f t="shared" si="2"/>
        <v>0.79939357602813355</v>
      </c>
    </row>
    <row r="50" spans="10:18" x14ac:dyDescent="0.2">
      <c r="J50" s="142">
        <v>2.2000000000000002</v>
      </c>
      <c r="K50" s="143">
        <f>IF(ISBLANK(Xbar_R!$D$2), Xbar_R!$F$2-(J50*Formulas!$C$15), Xbar_R!$D$2-(J50*Formulas!$C$15))</f>
        <v>4.0150111063341933</v>
      </c>
      <c r="L50" s="143">
        <f>IF(ISBLANK(Xbar_R!$D$2), NORMDIST(K50, Xbar_R!$F$2, Formulas!$C$15, FALSE), NORMDIST(K50, Xbar_R!$D$2, Formulas!$C$15, FALSE))</f>
        <v>3.154904685435754E-2</v>
      </c>
      <c r="M50" s="143">
        <f t="shared" si="3"/>
        <v>7.108336976706453E-2</v>
      </c>
      <c r="N50" s="140">
        <f>+IF(K50&gt;=(Formulas!$D$4), M50, 0)</f>
        <v>0</v>
      </c>
      <c r="O50" s="147">
        <f>+IF(K50&lt;=(Formulas!$D$3), M50, 0)</f>
        <v>0</v>
      </c>
      <c r="P50" s="147">
        <f>NORMDIST(K50,Xbar_R!$I$2,Xbar_R!$K$2/3,FALSE)</f>
        <v>7.1105410105053576E-3</v>
      </c>
      <c r="Q50" s="140">
        <f t="shared" si="4"/>
        <v>1.5990622790753369E-2</v>
      </c>
      <c r="R50" s="135">
        <f t="shared" si="2"/>
        <v>0.79939357602813355</v>
      </c>
    </row>
    <row r="51" spans="10:18" x14ac:dyDescent="0.2">
      <c r="J51" s="142">
        <v>2.1800000000000002</v>
      </c>
      <c r="K51" s="143">
        <f>IF(ISBLANK(Xbar_R!$D$2), Xbar_R!$F$2-(J51*Formulas!$C$15), Xbar_R!$D$2-(J51*Formulas!$C$15))</f>
        <v>4.0374996417311557</v>
      </c>
      <c r="L51" s="143">
        <f>IF(ISBLANK(Xbar_R!$D$2), NORMDIST(K51, Xbar_R!$F$2, Formulas!$C$15, FALSE), NORMDIST(K51, Xbar_R!$D$2, Formulas!$C$15, FALSE))</f>
        <v>3.296160429621714E-2</v>
      </c>
      <c r="M51" s="143">
        <f t="shared" si="3"/>
        <v>7.4266012444684948E-2</v>
      </c>
      <c r="N51" s="140">
        <f>+IF(K51&gt;=(Formulas!$D$4), M51, 0)</f>
        <v>0</v>
      </c>
      <c r="O51" s="147">
        <f>+IF(K51&lt;=(Formulas!$D$3), M51, 0)</f>
        <v>0</v>
      </c>
      <c r="P51" s="147">
        <f>NORMDIST(K51,Xbar_R!$I$2,Xbar_R!$K$2/3,FALSE)</f>
        <v>7.8573408948186176E-3</v>
      </c>
      <c r="Q51" s="140">
        <f t="shared" si="4"/>
        <v>1.7670072389959445E-2</v>
      </c>
      <c r="R51" s="135">
        <f t="shared" si="2"/>
        <v>0.79939357602813355</v>
      </c>
    </row>
    <row r="52" spans="10:18" x14ac:dyDescent="0.2">
      <c r="J52" s="142">
        <v>2.16</v>
      </c>
      <c r="K52" s="143">
        <f>IF(ISBLANK(Xbar_R!$D$2), Xbar_R!$F$2-(J52*Formulas!$C$15), Xbar_R!$D$2-(J52*Formulas!$C$15))</f>
        <v>4.0599881771281172</v>
      </c>
      <c r="L52" s="143">
        <f>IF(ISBLANK(Xbar_R!$D$2), NORMDIST(K52, Xbar_R!$F$2, Formulas!$C$15, FALSE), NORMDIST(K52, Xbar_R!$D$2, Formulas!$C$15, FALSE))</f>
        <v>3.4423634500168256E-2</v>
      </c>
      <c r="M52" s="143">
        <f t="shared" si="3"/>
        <v>7.756012253548536E-2</v>
      </c>
      <c r="N52" s="140">
        <f>+IF(K52&gt;=(Formulas!$D$4), M52, 0)</f>
        <v>0</v>
      </c>
      <c r="O52" s="147">
        <f>+IF(K52&lt;=(Formulas!$D$3), M52, 0)</f>
        <v>0</v>
      </c>
      <c r="P52" s="147">
        <f>NORMDIST(K52,Xbar_R!$I$2,Xbar_R!$K$2/3,FALSE)</f>
        <v>8.6727007449482751E-3</v>
      </c>
      <c r="Q52" s="140">
        <f t="shared" si="4"/>
        <v>1.9503703865101155E-2</v>
      </c>
      <c r="R52" s="135">
        <f t="shared" si="2"/>
        <v>0.79939357602813355</v>
      </c>
    </row>
    <row r="53" spans="10:18" x14ac:dyDescent="0.2">
      <c r="J53" s="142">
        <v>2.14</v>
      </c>
      <c r="K53" s="143">
        <f>IF(ISBLANK(Xbar_R!$D$2), Xbar_R!$F$2-(J53*Formulas!$C$15), Xbar_R!$D$2-(J53*Formulas!$C$15))</f>
        <v>4.0824767125250787</v>
      </c>
      <c r="L53" s="143">
        <f>IF(ISBLANK(Xbar_R!$D$2), NORMDIST(K53, Xbar_R!$F$2, Formulas!$C$15, FALSE), NORMDIST(K53, Xbar_R!$D$2, Formulas!$C$15, FALSE))</f>
        <v>3.593613653321253E-2</v>
      </c>
      <c r="M53" s="143">
        <f t="shared" si="3"/>
        <v>8.0967951044050052E-2</v>
      </c>
      <c r="N53" s="140">
        <f>+IF(K53&gt;=(Formulas!$D$4), M53, 0)</f>
        <v>0</v>
      </c>
      <c r="O53" s="147">
        <f>+IF(K53&lt;=(Formulas!$D$3), M53, 0)</f>
        <v>0</v>
      </c>
      <c r="P53" s="147">
        <f>NORMDIST(K53,Xbar_R!$I$2,Xbar_R!$K$2/3,FALSE)</f>
        <v>9.5617842925293361E-3</v>
      </c>
      <c r="Q53" s="140">
        <f t="shared" si="4"/>
        <v>2.1503129734079179E-2</v>
      </c>
      <c r="R53" s="135">
        <f t="shared" si="2"/>
        <v>0.79939357602813355</v>
      </c>
    </row>
    <row r="54" spans="10:18" x14ac:dyDescent="0.2">
      <c r="J54" s="142">
        <v>2.12</v>
      </c>
      <c r="K54" s="143">
        <f>IF(ISBLANK(Xbar_R!$D$2), Xbar_R!$F$2-(J54*Formulas!$C$15), Xbar_R!$D$2-(J54*Formulas!$C$15))</f>
        <v>4.1049652479220411</v>
      </c>
      <c r="L54" s="143">
        <f>IF(ISBLANK(Xbar_R!$D$2), NORMDIST(K54, Xbar_R!$F$2, Formulas!$C$15, FALSE), NORMDIST(K54, Xbar_R!$D$2, Formulas!$C$15, FALSE))</f>
        <v>3.7500091684464963E-2</v>
      </c>
      <c r="M54" s="143">
        <f t="shared" si="3"/>
        <v>8.4491708919487332E-2</v>
      </c>
      <c r="N54" s="140">
        <f>+IF(K54&gt;=(Formulas!$D$4), M54, 0)</f>
        <v>0</v>
      </c>
      <c r="O54" s="147">
        <f>+IF(K54&lt;=(Formulas!$D$3), M54, 0)</f>
        <v>0</v>
      </c>
      <c r="P54" s="147">
        <f>NORMDIST(K54,Xbar_R!$I$2,Xbar_R!$K$2/3,FALSE)</f>
        <v>1.0530023452533484E-2</v>
      </c>
      <c r="Q54" s="140">
        <f t="shared" si="4"/>
        <v>2.3680565622007748E-2</v>
      </c>
      <c r="R54" s="135">
        <f t="shared" si="2"/>
        <v>0.79939357602813355</v>
      </c>
    </row>
    <row r="55" spans="10:18" x14ac:dyDescent="0.2">
      <c r="J55" s="142">
        <v>2.1</v>
      </c>
      <c r="K55" s="143">
        <f>IF(ISBLANK(Xbar_R!$D$2), Xbar_R!$F$2-(J55*Formulas!$C$15), Xbar_R!$D$2-(J55*Formulas!$C$15))</f>
        <v>4.1274537833190026</v>
      </c>
      <c r="L55" s="143">
        <f>IF(ISBLANK(Xbar_R!$D$2), NORMDIST(K55, Xbar_R!$F$2, Formulas!$C$15, FALSE), NORMDIST(K55, Xbar_R!$D$2, Formulas!$C$15, FALSE))</f>
        <v>3.911646108031492E-2</v>
      </c>
      <c r="M55" s="143">
        <f t="shared" si="3"/>
        <v>8.8133561682132669E-2</v>
      </c>
      <c r="N55" s="140">
        <f>+IF(K55&gt;=(Formulas!$D$4), M55, 0)</f>
        <v>0</v>
      </c>
      <c r="O55" s="147">
        <f>+IF(K55&lt;=(Formulas!$D$3), M55, 0)</f>
        <v>0</v>
      </c>
      <c r="P55" s="147">
        <f>NORMDIST(K55,Xbar_R!$I$2,Xbar_R!$K$2/3,FALSE)</f>
        <v>1.1583119857198869E-2</v>
      </c>
      <c r="Q55" s="140">
        <f t="shared" si="4"/>
        <v>2.6048833710810446E-2</v>
      </c>
      <c r="R55" s="135">
        <f t="shared" si="2"/>
        <v>0.79939357602813355</v>
      </c>
    </row>
    <row r="56" spans="10:18" x14ac:dyDescent="0.2">
      <c r="J56" s="142">
        <v>2.08</v>
      </c>
      <c r="K56" s="143">
        <f>IF(ISBLANK(Xbar_R!$D$2), Xbar_R!$F$2-(J56*Formulas!$C$15), Xbar_R!$D$2-(J56*Formulas!$C$15))</f>
        <v>4.149942318715965</v>
      </c>
      <c r="L56" s="143">
        <f>IF(ISBLANK(Xbar_R!$D$2), NORMDIST(K56, Xbar_R!$F$2, Formulas!$C$15, FALSE), NORMDIST(K56, Xbar_R!$D$2, Formulas!$C$15, FALSE))</f>
        <v>4.0786183236504223E-2</v>
      </c>
      <c r="M56" s="143">
        <f t="shared" si="3"/>
        <v>9.1895623908119409E-2</v>
      </c>
      <c r="N56" s="140">
        <f>+IF(K56&gt;=(Formulas!$D$4), M56, 0)</f>
        <v>0</v>
      </c>
      <c r="O56" s="147">
        <f>+IF(K56&lt;=(Formulas!$D$3), M56, 0)</f>
        <v>0</v>
      </c>
      <c r="P56" s="147">
        <f>NORMDIST(K56,Xbar_R!$I$2,Xbar_R!$K$2/3,FALSE)</f>
        <v>1.2727044936416946E-2</v>
      </c>
      <c r="Q56" s="140">
        <f t="shared" si="4"/>
        <v>2.8621362919999116E-2</v>
      </c>
      <c r="R56" s="135">
        <f t="shared" si="2"/>
        <v>0.79939357602813355</v>
      </c>
    </row>
    <row r="57" spans="10:18" x14ac:dyDescent="0.2">
      <c r="J57" s="142">
        <v>2.06</v>
      </c>
      <c r="K57" s="143">
        <f>IF(ISBLANK(Xbar_R!$D$2), Xbar_R!$F$2-(J57*Formulas!$C$15), Xbar_R!$D$2-(J57*Formulas!$C$15))</f>
        <v>4.1724308541129265</v>
      </c>
      <c r="L57" s="143">
        <f>IF(ISBLANK(Xbar_R!$D$2), NORMDIST(K57, Xbar_R!$F$2, Formulas!$C$15, FALSE), NORMDIST(K57, Xbar_R!$D$2, Formulas!$C$15, FALSE))</f>
        <v>4.2510171550375467E-2</v>
      </c>
      <c r="M57" s="143">
        <f t="shared" si="3"/>
        <v>9.5779953579146593E-2</v>
      </c>
      <c r="N57" s="140">
        <f>+IF(K57&gt;=(Formulas!$D$4), M57, 0)</f>
        <v>0</v>
      </c>
      <c r="O57" s="147">
        <f>+IF(K57&lt;=(Formulas!$D$3), M57, 0)</f>
        <v>0</v>
      </c>
      <c r="P57" s="147">
        <f>NORMDIST(K57,Xbar_R!$I$2,Xbar_R!$K$2/3,FALSE)</f>
        <v>1.3968038396899926E-2</v>
      </c>
      <c r="Q57" s="140">
        <f t="shared" si="4"/>
        <v>3.1412185486531879E-2</v>
      </c>
      <c r="R57" s="135">
        <f t="shared" si="2"/>
        <v>0.79939357602813355</v>
      </c>
    </row>
    <row r="58" spans="10:18" x14ac:dyDescent="0.2">
      <c r="J58" s="142">
        <v>2.04</v>
      </c>
      <c r="K58" s="143">
        <f>IF(ISBLANK(Xbar_R!$D$2), Xbar_R!$F$2-(J58*Formulas!$C$15), Xbar_R!$D$2-(J58*Formulas!$C$15))</f>
        <v>4.194919389509888</v>
      </c>
      <c r="L58" s="143">
        <f>IF(ISBLANK(Xbar_R!$D$2), NORMDIST(K58, Xbar_R!$F$2, Formulas!$C$15, FALSE), NORMDIST(K58, Xbar_R!$D$2, Formulas!$C$15, FALSE))</f>
        <v>4.4289311736858177E-2</v>
      </c>
      <c r="M58" s="143">
        <f t="shared" si="3"/>
        <v>9.9788546305482062E-2</v>
      </c>
      <c r="N58" s="140">
        <f>+IF(K58&gt;=(Formulas!$D$4), M58, 0)</f>
        <v>0</v>
      </c>
      <c r="O58" s="147">
        <f>+IF(K58&lt;=(Formulas!$D$3), M58, 0)</f>
        <v>0</v>
      </c>
      <c r="P58" s="147">
        <f>NORMDIST(K58,Xbar_R!$I$2,Xbar_R!$K$2/3,FALSE)</f>
        <v>1.5312604950969972E-2</v>
      </c>
      <c r="Q58" s="140">
        <f t="shared" si="4"/>
        <v>3.4435929608312724E-2</v>
      </c>
      <c r="R58" s="135">
        <f t="shared" si="2"/>
        <v>0.79939357602813355</v>
      </c>
    </row>
    <row r="59" spans="10:18" x14ac:dyDescent="0.2">
      <c r="J59" s="142">
        <v>2.02</v>
      </c>
      <c r="K59" s="143">
        <f>IF(ISBLANK(Xbar_R!$D$2), Xbar_R!$F$2-(J59*Formulas!$C$15), Xbar_R!$D$2-(J59*Formulas!$C$15))</f>
        <v>4.2174079249068503</v>
      </c>
      <c r="L59" s="143">
        <f>IF(ISBLANK(Xbar_R!$D$2), NORMDIST(K59, Xbar_R!$F$2, Formulas!$C$15, FALSE), NORMDIST(K59, Xbar_R!$D$2, Formulas!$C$15, FALSE))</f>
        <v>4.6124459212072248E-2</v>
      </c>
      <c r="M59" s="143">
        <f t="shared" si="3"/>
        <v>0.10392332943094183</v>
      </c>
      <c r="N59" s="140">
        <f>+IF(K59&gt;=(Formulas!$D$4), M59, 0)</f>
        <v>0</v>
      </c>
      <c r="O59" s="147">
        <f>+IF(K59&lt;=(Formulas!$D$3), M59, 0)</f>
        <v>0</v>
      </c>
      <c r="P59" s="147">
        <f>NORMDIST(K59,Xbar_R!$I$2,Xbar_R!$K$2/3,FALSE)</f>
        <v>1.6767509145598266E-2</v>
      </c>
      <c r="Q59" s="140">
        <f t="shared" si="4"/>
        <v>3.7707807815415897E-2</v>
      </c>
      <c r="R59" s="135">
        <f t="shared" si="2"/>
        <v>0.79939357602813355</v>
      </c>
    </row>
    <row r="60" spans="10:18" x14ac:dyDescent="0.2">
      <c r="J60" s="142">
        <v>2</v>
      </c>
      <c r="K60" s="143">
        <f>IF(ISBLANK(Xbar_R!$D$2), Xbar_R!$F$2-(J60*Formulas!$C$15), Xbar_R!$D$2-(J60*Formulas!$C$15))</f>
        <v>4.2398964603038127</v>
      </c>
      <c r="L60" s="143">
        <f>IF(ISBLANK(Xbar_R!$D$2), NORMDIST(K60, Xbar_R!$F$2, Formulas!$C$15, FALSE), NORMDIST(K60, Xbar_R!$D$2, Formulas!$C$15, FALSE))</f>
        <v>4.8016436428743231E-2</v>
      </c>
      <c r="M60" s="143">
        <f t="shared" si="3"/>
        <v>0.10818615602929624</v>
      </c>
      <c r="N60" s="140">
        <f>+IF(K60&gt;=(Formulas!$D$4), M60, 0)</f>
        <v>0</v>
      </c>
      <c r="O60" s="147">
        <f>+IF(K60&lt;=(Formulas!$D$3), M60, 0)</f>
        <v>0</v>
      </c>
      <c r="P60" s="147">
        <f>NORMDIST(K60,Xbar_R!$I$2,Xbar_R!$K$2/3,FALSE)</f>
        <v>1.8339768143515411E-2</v>
      </c>
      <c r="Q60" s="140">
        <f t="shared" si="4"/>
        <v>4.1243600735802147E-2</v>
      </c>
      <c r="R60" s="135">
        <f t="shared" si="2"/>
        <v>0.79939357602813355</v>
      </c>
    </row>
    <row r="61" spans="10:18" x14ac:dyDescent="0.2">
      <c r="J61" s="142">
        <v>1.98</v>
      </c>
      <c r="K61" s="143">
        <f>IF(ISBLANK(Xbar_R!$D$2), Xbar_R!$F$2-(J61*Formulas!$C$15), Xbar_R!$D$2-(J61*Formulas!$C$15))</f>
        <v>4.2623849957007742</v>
      </c>
      <c r="L61" s="143">
        <f>IF(ISBLANK(Xbar_R!$D$2), NORMDIST(K61, Xbar_R!$F$2, Formulas!$C$15, FALSE), NORMDIST(K61, Xbar_R!$D$2, Formulas!$C$15, FALSE))</f>
        <v>4.9966030167938977E-2</v>
      </c>
      <c r="M61" s="143">
        <f t="shared" si="3"/>
        <v>0.11257879880226368</v>
      </c>
      <c r="N61" s="140">
        <f>+IF(K61&gt;=(Formulas!$D$4), M61, 0)</f>
        <v>0</v>
      </c>
      <c r="O61" s="147">
        <f>+IF(K61&lt;=(Formulas!$D$3), M61, 0)</f>
        <v>0</v>
      </c>
      <c r="P61" s="147">
        <f>NORMDIST(K61,Xbar_R!$I$2,Xbar_R!$K$2/3,FALSE)</f>
        <v>2.0036642310933866E-2</v>
      </c>
      <c r="Q61" s="140">
        <f t="shared" si="4"/>
        <v>4.5059635928408927E-2</v>
      </c>
      <c r="R61" s="135">
        <f t="shared" si="2"/>
        <v>0.79939357602813355</v>
      </c>
    </row>
    <row r="62" spans="10:18" x14ac:dyDescent="0.2">
      <c r="J62" s="142">
        <v>1.96</v>
      </c>
      <c r="K62" s="143">
        <f>IF(ISBLANK(Xbar_R!$D$2), Xbar_R!$F$2-(J62*Formulas!$C$15), Xbar_R!$D$2-(J62*Formulas!$C$15))</f>
        <v>4.2848735310977357</v>
      </c>
      <c r="L62" s="143">
        <f>IF(ISBLANK(Xbar_R!$D$2), NORMDIST(K62, Xbar_R!$F$2, Formulas!$C$15, FALSE), NORMDIST(K62, Xbar_R!$D$2, Formulas!$C$15, FALSE))</f>
        <v>5.1973988791948283E-2</v>
      </c>
      <c r="M62" s="143">
        <f t="shared" si="3"/>
        <v>0.11710294388995295</v>
      </c>
      <c r="N62" s="140">
        <f>+IF(K62&gt;=(Formulas!$D$4), M62, 0)</f>
        <v>0</v>
      </c>
      <c r="O62" s="147">
        <f>+IF(K62&lt;=(Formulas!$D$3), M62, 0)</f>
        <v>0</v>
      </c>
      <c r="P62" s="147">
        <f>NORMDIST(K62,Xbar_R!$I$2,Xbar_R!$K$2/3,FALSE)</f>
        <v>2.1865623470788451E-2</v>
      </c>
      <c r="Q62" s="140">
        <f t="shared" si="4"/>
        <v>4.9172761466313761E-2</v>
      </c>
      <c r="R62" s="135">
        <f t="shared" si="2"/>
        <v>0.79939357602813355</v>
      </c>
    </row>
    <row r="63" spans="10:18" x14ac:dyDescent="0.2">
      <c r="J63" s="142">
        <v>1.94</v>
      </c>
      <c r="K63" s="143">
        <f>IF(ISBLANK(Xbar_R!$D$2), Xbar_R!$F$2-(J63*Formulas!$C$15), Xbar_R!$D$2-(J63*Formulas!$C$15))</f>
        <v>4.3073620664946981</v>
      </c>
      <c r="L63" s="143">
        <f>IF(ISBLANK(Xbar_R!$D$2), NORMDIST(K63, Xbar_R!$F$2, Formulas!$C$15, FALSE), NORMDIST(K63, Xbar_R!$D$2, Formulas!$C$15, FALSE))</f>
        <v>5.4041019463431962E-2</v>
      </c>
      <c r="M63" s="143">
        <f t="shared" si="3"/>
        <v>0.12176018460531368</v>
      </c>
      <c r="N63" s="140">
        <f>+IF(K63&gt;=(Formulas!$D$4), M63, 0)</f>
        <v>0</v>
      </c>
      <c r="O63" s="147">
        <f>+IF(K63&lt;=(Formulas!$D$3), M63, 0)</f>
        <v>0</v>
      </c>
      <c r="P63" s="147">
        <f>NORMDIST(K63,Xbar_R!$I$2,Xbar_R!$K$2/3,FALSE)</f>
        <v>2.3834420686522806E-2</v>
      </c>
      <c r="Q63" s="140">
        <f t="shared" si="4"/>
        <v>5.3600313966437246E-2</v>
      </c>
      <c r="R63" s="135">
        <f t="shared" si="2"/>
        <v>0.79939357602813355</v>
      </c>
    </row>
    <row r="64" spans="10:18" x14ac:dyDescent="0.2">
      <c r="J64" s="142">
        <v>1.92</v>
      </c>
      <c r="K64" s="143">
        <f>IF(ISBLANK(Xbar_R!$D$2), Xbar_R!$F$2-(J64*Formulas!$C$15), Xbar_R!$D$2-(J64*Formulas!$C$15))</f>
        <v>4.3298506018916605</v>
      </c>
      <c r="L64" s="143">
        <f>IF(ISBLANK(Xbar_R!$D$2), NORMDIST(K64, Xbar_R!$F$2, Formulas!$C$15, FALSE), NORMDIST(K64, Xbar_R!$D$2, Formulas!$C$15, FALSE))</f>
        <v>5.616778533628377E-2</v>
      </c>
      <c r="M64" s="143">
        <f t="shared" si="3"/>
        <v>0.12655201510484645</v>
      </c>
      <c r="N64" s="140">
        <f>+IF(K64&gt;=(Formulas!$D$4), M64, 0)</f>
        <v>0</v>
      </c>
      <c r="O64" s="147">
        <f>+IF(K64&lt;=(Formulas!$D$3), M64, 0)</f>
        <v>0</v>
      </c>
      <c r="P64" s="147">
        <f>NORMDIST(K64,Xbar_R!$I$2,Xbar_R!$K$2/3,FALSE)</f>
        <v>2.5950943449430008E-2</v>
      </c>
      <c r="Q64" s="140">
        <f t="shared" si="4"/>
        <v>5.8360080780198553E-2</v>
      </c>
      <c r="R64" s="135">
        <f t="shared" si="2"/>
        <v>0.79939357602813355</v>
      </c>
    </row>
    <row r="65" spans="10:18" x14ac:dyDescent="0.2">
      <c r="J65" s="142">
        <v>1.9</v>
      </c>
      <c r="K65" s="143">
        <f>IF(ISBLANK(Xbar_R!$D$2), Xbar_R!$F$2-(J65*Formulas!$C$15), Xbar_R!$D$2-(J65*Formulas!$C$15))</f>
        <v>4.352339137288622</v>
      </c>
      <c r="L65" s="143">
        <f>IF(ISBLANK(Xbar_R!$D$2), NORMDIST(K65, Xbar_R!$F$2, Formulas!$C$15, FALSE), NORMDIST(K65, Xbar_R!$D$2, Formulas!$C$15, FALSE))</f>
        <v>5.8354902723937355E-2</v>
      </c>
      <c r="M65" s="143">
        <f t="shared" si="3"/>
        <v>0.13147982400849589</v>
      </c>
      <c r="N65" s="140">
        <f>+IF(K65&gt;=(Formulas!$D$4), M65, 0)</f>
        <v>0</v>
      </c>
      <c r="O65" s="147">
        <f>+IF(K65&lt;=(Formulas!$D$3), M65, 0)</f>
        <v>0</v>
      </c>
      <c r="P65" s="147">
        <f>NORMDIST(K65,Xbar_R!$I$2,Xbar_R!$K$2/3,FALSE)</f>
        <v>2.822328215247866E-2</v>
      </c>
      <c r="Q65" s="140">
        <f t="shared" si="4"/>
        <v>6.3470256081852319E-2</v>
      </c>
      <c r="R65" s="135">
        <f t="shared" si="2"/>
        <v>0.79939357602813355</v>
      </c>
    </row>
    <row r="66" spans="10:18" x14ac:dyDescent="0.2">
      <c r="J66" s="142">
        <v>1.88</v>
      </c>
      <c r="K66" s="143">
        <f>IF(ISBLANK(Xbar_R!$D$2), Xbar_R!$F$2-(J66*Formulas!$C$15), Xbar_R!$D$2-(J66*Formulas!$C$15))</f>
        <v>4.3748276726855835</v>
      </c>
      <c r="L66" s="143">
        <f>IF(ISBLANK(Xbar_R!$D$2), NORMDIST(K66, Xbar_R!$F$2, Formulas!$C$15, FALSE), NORMDIST(K66, Xbar_R!$D$2, Formulas!$C$15, FALSE))</f>
        <v>6.0602938251150394E-2</v>
      </c>
      <c r="M66" s="143">
        <f t="shared" si="3"/>
        <v>0.13654488798231643</v>
      </c>
      <c r="N66" s="140">
        <f>+IF(K66&gt;=(Formulas!$D$4), M66, 0)</f>
        <v>0</v>
      </c>
      <c r="O66" s="147">
        <f>+IF(K66&lt;=(Formulas!$D$3), M66, 0)</f>
        <v>0</v>
      </c>
      <c r="P66" s="147">
        <f>NORMDIST(K66,Xbar_R!$I$2,Xbar_R!$K$2/3,FALSE)</f>
        <v>3.0659685745496823E-2</v>
      </c>
      <c r="Q66" s="140">
        <f t="shared" si="4"/>
        <v>6.8949390618089357E-2</v>
      </c>
      <c r="R66" s="135">
        <f t="shared" si="2"/>
        <v>0.79939357602813355</v>
      </c>
    </row>
    <row r="67" spans="10:18" x14ac:dyDescent="0.2">
      <c r="J67" s="142">
        <v>1.86</v>
      </c>
      <c r="K67" s="143">
        <f>IF(ISBLANK(Xbar_R!$D$2), Xbar_R!$F$2-(J67*Formulas!$C$15), Xbar_R!$D$2-(J67*Formulas!$C$15))</f>
        <v>4.397316208082545</v>
      </c>
      <c r="L67" s="143">
        <f>IF(ISBLANK(Xbar_R!$D$2), NORMDIST(K67, Xbar_R!$F$2, Formulas!$C$15, FALSE), NORMDIST(K67, Xbar_R!$D$2, Formulas!$C$15, FALSE))</f>
        <v>6.2912405995581289E-2</v>
      </c>
      <c r="M67" s="143">
        <f t="shared" si="3"/>
        <v>0.14174836529813953</v>
      </c>
      <c r="N67" s="140">
        <f>+IF(K67&gt;=(Formulas!$D$4), M67, 0)</f>
        <v>0</v>
      </c>
      <c r="O67" s="147">
        <f>+IF(K67&lt;=(Formulas!$D$3), M67, 0)</f>
        <v>0</v>
      </c>
      <c r="P67" s="147">
        <f>NORMDIST(K67,Xbar_R!$I$2,Xbar_R!$K$2/3,FALSE)</f>
        <v>3.3268536480597515E-2</v>
      </c>
      <c r="Q67" s="140">
        <f t="shared" si="4"/>
        <v>7.4816334913993199E-2</v>
      </c>
      <c r="R67" s="135">
        <f t="shared" si="2"/>
        <v>0.79939357602813355</v>
      </c>
    </row>
    <row r="68" spans="10:18" x14ac:dyDescent="0.2">
      <c r="J68" s="142">
        <v>1.84</v>
      </c>
      <c r="K68" s="143">
        <f>IF(ISBLANK(Xbar_R!$D$2), Xbar_R!$F$2-(J68*Formulas!$C$15), Xbar_R!$D$2-(J68*Formulas!$C$15))</f>
        <v>4.4198047434795074</v>
      </c>
      <c r="L68" s="143">
        <f>IF(ISBLANK(Xbar_R!$D$2), NORMDIST(K68, Xbar_R!$F$2, Formulas!$C$15, FALSE), NORMDIST(K68, Xbar_R!$D$2, Formulas!$C$15, FALSE))</f>
        <v>6.5283764625751375E-2</v>
      </c>
      <c r="M68" s="143">
        <f t="shared" ref="M68:M131" si="5">100*(L68/$L$317)</f>
        <v>0.14709128938509708</v>
      </c>
      <c r="N68" s="140">
        <f>+IF(K68&gt;=(Formulas!$D$4), M68, 0)</f>
        <v>0</v>
      </c>
      <c r="O68" s="147">
        <f>+IF(K68&lt;=(Formulas!$D$3), M68, 0)</f>
        <v>0</v>
      </c>
      <c r="P68" s="147">
        <f>NORMDIST(K68,Xbar_R!$I$2,Xbar_R!$K$2/3,FALSE)</f>
        <v>3.6058321672852368E-2</v>
      </c>
      <c r="Q68" s="140">
        <f t="shared" si="4"/>
        <v>8.1090175766702979E-2</v>
      </c>
      <c r="R68" s="135">
        <f t="shared" si="2"/>
        <v>0.79939357602813355</v>
      </c>
    </row>
    <row r="69" spans="10:18" x14ac:dyDescent="0.2">
      <c r="J69" s="142">
        <v>1.82</v>
      </c>
      <c r="K69" s="143">
        <f>IF(ISBLANK(Xbar_R!$D$2), Xbar_R!$F$2-(J69*Formulas!$C$15), Xbar_R!$D$2-(J69*Formulas!$C$15))</f>
        <v>4.4422932788764697</v>
      </c>
      <c r="L69" s="143">
        <f>IF(ISBLANK(Xbar_R!$D$2), NORMDIST(K69, Xbar_R!$F$2, Formulas!$C$15, FALSE), NORMDIST(K69, Xbar_R!$D$2, Formulas!$C$15, FALSE))</f>
        <v>6.7717414542250762E-2</v>
      </c>
      <c r="M69" s="143">
        <f t="shared" si="5"/>
        <v>0.15257456238845307</v>
      </c>
      <c r="N69" s="140">
        <f>+IF(K69&gt;=(Formulas!$D$4), M69, 0)</f>
        <v>0</v>
      </c>
      <c r="O69" s="147">
        <f>+IF(K69&lt;=(Formulas!$D$3), M69, 0)</f>
        <v>0</v>
      </c>
      <c r="P69" s="147">
        <f>NORMDIST(K69,Xbar_R!$I$2,Xbar_R!$K$2/3,FALSE)</f>
        <v>3.9037602419459437E-2</v>
      </c>
      <c r="Q69" s="140">
        <f t="shared" ref="Q69:Q132" si="6">100*(P69/$P$317)</f>
        <v>8.7790165899150271E-2</v>
      </c>
      <c r="R69" s="135">
        <f t="shared" si="2"/>
        <v>0.79939357602813355</v>
      </c>
    </row>
    <row r="70" spans="10:18" x14ac:dyDescent="0.2">
      <c r="J70" s="142">
        <v>1.8</v>
      </c>
      <c r="K70" s="143">
        <f>IF(ISBLANK(Xbar_R!$D$2), Xbar_R!$F$2-(J70*Formulas!$C$15), Xbar_R!$D$2-(J70*Formulas!$C$15))</f>
        <v>4.4647818142734312</v>
      </c>
      <c r="L70" s="143">
        <f>IF(ISBLANK(Xbar_R!$D$2), NORMDIST(K70, Xbar_R!$F$2, Formulas!$C$15, FALSE), NORMDIST(K70, Xbar_R!$D$2, Formulas!$C$15, FALSE))</f>
        <v>7.0213695029299292E-2</v>
      </c>
      <c r="M70" s="143">
        <f t="shared" si="5"/>
        <v>0.15819894875176629</v>
      </c>
      <c r="N70" s="140">
        <f>+IF(K70&gt;=(Formulas!$D$4), M70, 0)</f>
        <v>0</v>
      </c>
      <c r="O70" s="147">
        <f>+IF(K70&lt;=(Formulas!$D$3), M70, 0)</f>
        <v>0</v>
      </c>
      <c r="P70" s="147">
        <f>NORMDIST(K70,Xbar_R!$I$2,Xbar_R!$K$2/3,FALSE)</f>
        <v>4.2214979241006437E-2</v>
      </c>
      <c r="Q70" s="140">
        <f t="shared" si="6"/>
        <v>9.4935646692014708E-2</v>
      </c>
      <c r="R70" s="135">
        <f t="shared" ref="R70:R133" si="7">+$R$4</f>
        <v>0.79939357602813355</v>
      </c>
    </row>
    <row r="71" spans="10:18" x14ac:dyDescent="0.2">
      <c r="J71" s="142">
        <v>1.78</v>
      </c>
      <c r="K71" s="143">
        <f>IF(ISBLANK(Xbar_R!$D$2), Xbar_R!$F$2-(J71*Formulas!$C$15), Xbar_R!$D$2-(J71*Formulas!$C$15))</f>
        <v>4.4872703496703927</v>
      </c>
      <c r="L71" s="143">
        <f>IF(ISBLANK(Xbar_R!$D$2), NORMDIST(K71, Xbar_R!$F$2, Formulas!$C$15, FALSE), NORMDIST(K71, Xbar_R!$D$2, Formulas!$C$15, FALSE))</f>
        <v>7.2772881424014293E-2</v>
      </c>
      <c r="M71" s="143">
        <f t="shared" si="5"/>
        <v>0.16396506883894862</v>
      </c>
      <c r="N71" s="140">
        <f>+IF(K71&gt;=(Formulas!$D$4), M71, 0)</f>
        <v>0</v>
      </c>
      <c r="O71" s="147">
        <f>+IF(K71&lt;=(Formulas!$D$3), M71, 0)</f>
        <v>0</v>
      </c>
      <c r="P71" s="147">
        <f>NORMDIST(K71,Xbar_R!$I$2,Xbar_R!$K$2/3,FALSE)</f>
        <v>4.5599054630857852E-2</v>
      </c>
      <c r="Q71" s="140">
        <f t="shared" si="6"/>
        <v>0.10254596396247789</v>
      </c>
      <c r="R71" s="135">
        <f t="shared" si="7"/>
        <v>0.79939357602813355</v>
      </c>
    </row>
    <row r="72" spans="10:18" x14ac:dyDescent="0.2">
      <c r="J72" s="142">
        <v>1.76</v>
      </c>
      <c r="K72" s="143">
        <f>IF(ISBLANK(Xbar_R!$D$2), Xbar_R!$F$2-(J72*Formulas!$C$15), Xbar_R!$D$2-(J72*Formulas!$C$15))</f>
        <v>4.5097588850673551</v>
      </c>
      <c r="L72" s="143">
        <f>IF(ISBLANK(Xbar_R!$D$2), NORMDIST(K72, Xbar_R!$F$2, Formulas!$C$15, FALSE), NORMDIST(K72, Xbar_R!$D$2, Formulas!$C$15, FALSE))</f>
        <v>7.5395182310961192E-2</v>
      </c>
      <c r="M72" s="143">
        <f t="shared" si="5"/>
        <v>0.16987339261328802</v>
      </c>
      <c r="N72" s="140">
        <f>+IF(K72&gt;=(Formulas!$D$4), M72, 0)</f>
        <v>0</v>
      </c>
      <c r="O72" s="147">
        <f>+IF(K72&lt;=(Formulas!$D$3), M72, 0)</f>
        <v>0</v>
      </c>
      <c r="P72" s="147">
        <f>NORMDIST(K72,Xbar_R!$I$2,Xbar_R!$K$2/3,FALSE)</f>
        <v>4.9198392523133391E-2</v>
      </c>
      <c r="Q72" s="140">
        <f t="shared" si="6"/>
        <v>0.11064037681331564</v>
      </c>
      <c r="R72" s="135">
        <f t="shared" si="7"/>
        <v>0.79939357602813355</v>
      </c>
    </row>
    <row r="73" spans="10:18" x14ac:dyDescent="0.2">
      <c r="J73" s="142">
        <v>1.74</v>
      </c>
      <c r="K73" s="143">
        <f>IF(ISBLANK(Xbar_R!$D$2), Xbar_R!$F$2-(J73*Formulas!$C$15), Xbar_R!$D$2-(J73*Formulas!$C$15))</f>
        <v>4.5322474204643166</v>
      </c>
      <c r="L73" s="143">
        <f>IF(ISBLANK(Xbar_R!$D$2), NORMDIST(K73, Xbar_R!$F$2, Formulas!$C$15, FALSE), NORMDIST(K73, Xbar_R!$D$2, Formulas!$C$15, FALSE))</f>
        <v>7.8080736749772089E-2</v>
      </c>
      <c r="M73" s="143">
        <f t="shared" si="5"/>
        <v>0.17592423339097729</v>
      </c>
      <c r="N73" s="140">
        <f>+IF(K73&gt;=(Formulas!$D$4), M73, 0)</f>
        <v>0</v>
      </c>
      <c r="O73" s="147">
        <f>+IF(K73&lt;=(Formulas!$D$3), M73, 0)</f>
        <v>0</v>
      </c>
      <c r="P73" s="147">
        <f>NORMDIST(K73,Xbar_R!$I$2,Xbar_R!$K$2/3,FALSE)</f>
        <v>5.3021474716105396E-2</v>
      </c>
      <c r="Q73" s="140">
        <f t="shared" si="6"/>
        <v>0.11923795963514887</v>
      </c>
      <c r="R73" s="135">
        <f t="shared" si="7"/>
        <v>0.79939357602813355</v>
      </c>
    </row>
    <row r="74" spans="10:18" x14ac:dyDescent="0.2">
      <c r="J74" s="142">
        <v>1.72</v>
      </c>
      <c r="K74" s="143">
        <f>IF(ISBLANK(Xbar_R!$D$2), Xbar_R!$F$2-(J74*Formulas!$C$15), Xbar_R!$D$2-(J74*Formulas!$C$15))</f>
        <v>4.554735955861279</v>
      </c>
      <c r="L74" s="143">
        <f>IF(ISBLANK(Xbar_R!$D$2), NORMDIST(K74, Xbar_R!$F$2, Formulas!$C$15, FALSE), NORMDIST(K74, Xbar_R!$D$2, Formulas!$C$15, FALSE))</f>
        <v>8.0829611543810367E-2</v>
      </c>
      <c r="M74" s="143">
        <f t="shared" si="5"/>
        <v>0.18211774168712405</v>
      </c>
      <c r="N74" s="140">
        <f>+IF(K74&gt;=(Formulas!$D$4), M74, 0)</f>
        <v>0</v>
      </c>
      <c r="O74" s="147">
        <f>+IF(K74&lt;=(Formulas!$D$3), M74, 0)</f>
        <v>0</v>
      </c>
      <c r="P74" s="147">
        <f>NORMDIST(K74,Xbar_R!$I$2,Xbar_R!$K$2/3,FALSE)</f>
        <v>5.7076654315997725E-2</v>
      </c>
      <c r="Q74" s="140">
        <f t="shared" si="6"/>
        <v>0.12835749740798955</v>
      </c>
      <c r="R74" s="135">
        <f t="shared" si="7"/>
        <v>0.79939357602813355</v>
      </c>
    </row>
    <row r="75" spans="10:18" x14ac:dyDescent="0.2">
      <c r="J75" s="142">
        <v>1.7</v>
      </c>
      <c r="K75" s="143">
        <f>IF(ISBLANK(Xbar_R!$D$2), Xbar_R!$F$2-(J75*Formulas!$C$15), Xbar_R!$D$2-(J75*Formulas!$C$15))</f>
        <v>4.5772244912582405</v>
      </c>
      <c r="L75" s="143">
        <f>IF(ISBLANK(Xbar_R!$D$2), NORMDIST(K75, Xbar_R!$F$2, Formulas!$C$15, FALSE), NORMDIST(K75, Xbar_R!$D$2, Formulas!$C$15, FALSE))</f>
        <v>8.3641798558026711E-2</v>
      </c>
      <c r="M75" s="143">
        <f t="shared" si="5"/>
        <v>0.18845389917259392</v>
      </c>
      <c r="N75" s="140">
        <f>+IF(K75&gt;=(Formulas!$D$4), M75, 0)</f>
        <v>0</v>
      </c>
      <c r="O75" s="147">
        <f>+IF(K75&lt;=(Formulas!$D$3), M75, 0)</f>
        <v>0</v>
      </c>
      <c r="P75" s="147">
        <f>NORMDIST(K75,Xbar_R!$I$2,Xbar_R!$K$2/3,FALSE)</f>
        <v>6.1372106295958795E-2</v>
      </c>
      <c r="Q75" s="140">
        <f t="shared" si="6"/>
        <v>0.13801737451521273</v>
      </c>
      <c r="R75" s="135">
        <f t="shared" si="7"/>
        <v>0.79939357602813355</v>
      </c>
    </row>
    <row r="76" spans="10:18" x14ac:dyDescent="0.2">
      <c r="J76" s="142">
        <v>1.68</v>
      </c>
      <c r="K76" s="143">
        <f>IF(ISBLANK(Xbar_R!$D$2), Xbar_R!$F$2-(J76*Formulas!$C$15), Xbar_R!$D$2-(J76*Formulas!$C$15))</f>
        <v>4.599713026655202</v>
      </c>
      <c r="L76" s="143">
        <f>IF(ISBLANK(Xbar_R!$D$2), NORMDIST(K76, Xbar_R!$F$2, Formulas!$C$15, FALSE), NORMDIST(K76, Xbar_R!$D$2, Formulas!$C$15, FALSE))</f>
        <v>8.6517212094309973E-2</v>
      </c>
      <c r="M76" s="143">
        <f t="shared" si="5"/>
        <v>0.19493251276039603</v>
      </c>
      <c r="N76" s="140">
        <f>+IF(K76&gt;=(Formulas!$D$4), M76, 0)</f>
        <v>0</v>
      </c>
      <c r="O76" s="147">
        <f>+IF(K76&lt;=(Formulas!$D$3), M76, 0)</f>
        <v>0</v>
      </c>
      <c r="P76" s="147">
        <f>NORMDIST(K76,Xbar_R!$I$2,Xbar_R!$K$2/3,FALSE)</f>
        <v>6.5915775296240348E-2</v>
      </c>
      <c r="Q76" s="140">
        <f t="shared" si="6"/>
        <v>0.14823545735338173</v>
      </c>
      <c r="R76" s="135">
        <f t="shared" si="7"/>
        <v>0.79939357602813355</v>
      </c>
    </row>
    <row r="77" spans="10:18" x14ac:dyDescent="0.2">
      <c r="J77" s="142">
        <v>1.66</v>
      </c>
      <c r="K77" s="143">
        <f>IF(ISBLANK(Xbar_R!$D$2), Xbar_R!$F$2-(J77*Formulas!$C$15), Xbar_R!$D$2-(J77*Formulas!$C$15))</f>
        <v>4.6222015620521644</v>
      </c>
      <c r="L77" s="143">
        <f>IF(ISBLANK(Xbar_R!$D$2), NORMDIST(K77, Xbar_R!$F$2, Formulas!$C$15, FALSE), NORMDIST(K77, Xbar_R!$D$2, Formulas!$C$15, FALSE))</f>
        <v>8.9455686332760839E-2</v>
      </c>
      <c r="M77" s="143">
        <f t="shared" si="5"/>
        <v>0.20155320884059935</v>
      </c>
      <c r="N77" s="140">
        <f>+IF(K77&gt;=(Formulas!$D$4), M77, 0)</f>
        <v>0</v>
      </c>
      <c r="O77" s="147">
        <f>+IF(K77&lt;=(Formulas!$D$3), M77, 0)</f>
        <v>0</v>
      </c>
      <c r="P77" s="147">
        <f>NORMDIST(K77,Xbar_R!$I$2,Xbar_R!$K$2/3,FALSE)</f>
        <v>7.0715320824091973E-2</v>
      </c>
      <c r="Q77" s="140">
        <f t="shared" si="6"/>
        <v>0.15902897109439426</v>
      </c>
      <c r="R77" s="135">
        <f t="shared" si="7"/>
        <v>0.79939357602813355</v>
      </c>
    </row>
    <row r="78" spans="10:18" x14ac:dyDescent="0.2">
      <c r="J78" s="142">
        <v>1.64</v>
      </c>
      <c r="K78" s="143">
        <f>IF(ISBLANK(Xbar_R!$D$2), Xbar_R!$F$2-(J78*Formulas!$C$15), Xbar_R!$D$2-(J78*Formulas!$C$15))</f>
        <v>4.6446900974491268</v>
      </c>
      <c r="L78" s="143">
        <f>IF(ISBLANK(Xbar_R!$D$2), NORMDIST(K78, Xbar_R!$F$2, Formulas!$C$15, FALSE), NORMDIST(K78, Xbar_R!$D$2, Formulas!$C$15, FALSE))</f>
        <v>9.2456972847426128E-2</v>
      </c>
      <c r="M78" s="143">
        <f t="shared" si="5"/>
        <v>0.20831542768301711</v>
      </c>
      <c r="N78" s="140">
        <f>+IF(K78&gt;=(Formulas!$D$4), M78, 0)</f>
        <v>0</v>
      </c>
      <c r="O78" s="147">
        <f>+IF(K78&lt;=(Formulas!$D$3), M78, 0)</f>
        <v>0</v>
      </c>
      <c r="P78" s="147">
        <f>NORMDIST(K78,Xbar_R!$I$2,Xbar_R!$K$2/3,FALSE)</f>
        <v>7.5778060045363083E-2</v>
      </c>
      <c r="Q78" s="140">
        <f t="shared" si="6"/>
        <v>0.17041437103171142</v>
      </c>
      <c r="R78" s="135">
        <f t="shared" si="7"/>
        <v>0.79939357602813355</v>
      </c>
    </row>
    <row r="79" spans="10:18" x14ac:dyDescent="0.2">
      <c r="J79" s="142">
        <v>1.62</v>
      </c>
      <c r="K79" s="143">
        <f>IF(ISBLANK(Xbar_R!$D$2), Xbar_R!$F$2-(J79*Formulas!$C$15), Xbar_R!$D$2-(J79*Formulas!$C$15))</f>
        <v>4.6671786328460882</v>
      </c>
      <c r="L79" s="143">
        <f>IF(ISBLANK(Xbar_R!$D$2), NORMDIST(K79, Xbar_R!$F$2, Formulas!$C$15, FALSE), NORMDIST(K79, Xbar_R!$D$2, Formulas!$C$15, FALSE))</f>
        <v>9.5520738205115835E-2</v>
      </c>
      <c r="M79" s="143">
        <f t="shared" si="5"/>
        <v>0.21521841802708513</v>
      </c>
      <c r="N79" s="140">
        <f>+IF(K79&gt;=(Formulas!$D$4), M79, 0)</f>
        <v>0</v>
      </c>
      <c r="O79" s="147">
        <f>+IF(K79&lt;=(Formulas!$D$3), M79, 0)</f>
        <v>0</v>
      </c>
      <c r="P79" s="147">
        <f>NORMDIST(K79,Xbar_R!$I$2,Xbar_R!$K$2/3,FALSE)</f>
        <v>8.111090839398491E-2</v>
      </c>
      <c r="Q79" s="140">
        <f t="shared" si="6"/>
        <v>0.18240720901930119</v>
      </c>
      <c r="R79" s="135">
        <f t="shared" si="7"/>
        <v>0.79939357602813355</v>
      </c>
    </row>
    <row r="80" spans="10:18" x14ac:dyDescent="0.2">
      <c r="J80" s="142">
        <v>1.6</v>
      </c>
      <c r="K80" s="143">
        <f>IF(ISBLANK(Xbar_R!$D$2), Xbar_R!$F$2-(J80*Formulas!$C$15), Xbar_R!$D$2-(J80*Formulas!$C$15))</f>
        <v>4.6896671682430497</v>
      </c>
      <c r="L80" s="143">
        <f>IF(ISBLANK(Xbar_R!$D$2), NORMDIST(K80, Xbar_R!$F$2, Formulas!$C$15, FALSE), NORMDIST(K80, Xbar_R!$D$2, Formulas!$C$15, FALSE))</f>
        <v>9.8646561655980972E-2</v>
      </c>
      <c r="M80" s="143">
        <f t="shared" si="5"/>
        <v>0.2222612318784874</v>
      </c>
      <c r="N80" s="140">
        <f>+IF(K80&gt;=(Formulas!$D$4), M80, 0)</f>
        <v>0</v>
      </c>
      <c r="O80" s="147">
        <f>+IF(K80&lt;=(Formulas!$D$3), M80, 0)</f>
        <v>0</v>
      </c>
      <c r="P80" s="147">
        <f>NORMDIST(K80,Xbar_R!$I$2,Xbar_R!$K$2/3,FALSE)</f>
        <v>8.6720318260085902E-2</v>
      </c>
      <c r="Q80" s="140">
        <f t="shared" si="6"/>
        <v>0.19502199558969416</v>
      </c>
      <c r="R80" s="135">
        <f t="shared" si="7"/>
        <v>0.79939357602813355</v>
      </c>
    </row>
    <row r="81" spans="10:18" x14ac:dyDescent="0.2">
      <c r="J81" s="142">
        <v>1.58</v>
      </c>
      <c r="K81" s="143">
        <f>IF(ISBLANK(Xbar_R!$D$2), Xbar_R!$F$2-(J81*Formulas!$C$15), Xbar_R!$D$2-(J81*Formulas!$C$15))</f>
        <v>4.7121557036400112</v>
      </c>
      <c r="L81" s="143">
        <f>IF(ISBLANK(Xbar_R!$D$2), NORMDIST(K81, Xbar_R!$F$2, Formulas!$C$15, FALSE), NORMDIST(K81, Xbar_R!$D$2, Formulas!$C$15, FALSE))</f>
        <v>0.1018339329245616</v>
      </c>
      <c r="M81" s="143">
        <f t="shared" si="5"/>
        <v>0.22944271953215137</v>
      </c>
      <c r="N81" s="140">
        <f>+IF(K81&gt;=(Formulas!$D$4), M81, 0)</f>
        <v>0</v>
      </c>
      <c r="O81" s="147">
        <f>+IF(K81&lt;=(Formulas!$D$3), M81, 0)</f>
        <v>0</v>
      </c>
      <c r="P81" s="147">
        <f>NORMDIST(K81,Xbar_R!$I$2,Xbar_R!$K$2/3,FALSE)</f>
        <v>9.2612216052133753E-2</v>
      </c>
      <c r="Q81" s="140">
        <f t="shared" si="6"/>
        <v>0.20827205841545005</v>
      </c>
      <c r="R81" s="135">
        <f t="shared" si="7"/>
        <v>0.79939357602813355</v>
      </c>
    </row>
    <row r="82" spans="10:18" x14ac:dyDescent="0.2">
      <c r="J82" s="142">
        <v>1.56</v>
      </c>
      <c r="K82" s="143">
        <f>IF(ISBLANK(Xbar_R!$D$2), Xbar_R!$F$2-(J82*Formulas!$C$15), Xbar_R!$D$2-(J82*Formulas!$C$15))</f>
        <v>4.7346442390369736</v>
      </c>
      <c r="L82" s="143">
        <f>IF(ISBLANK(Xbar_R!$D$2), NORMDIST(K82, Xbar_R!$F$2, Formulas!$C$15, FALSE), NORMDIST(K82, Xbar_R!$D$2, Formulas!$C$15, FALSE))</f>
        <v>0.10508225011002262</v>
      </c>
      <c r="M82" s="143">
        <f t="shared" si="5"/>
        <v>0.23676152484125515</v>
      </c>
      <c r="N82" s="140">
        <f>+IF(K82&gt;=(Formulas!$D$4), M82, 0)</f>
        <v>0</v>
      </c>
      <c r="O82" s="147">
        <f>+IF(K82&lt;=(Formulas!$D$3), M82, 0)</f>
        <v>0</v>
      </c>
      <c r="P82" s="147">
        <f>NORMDIST(K82,Xbar_R!$I$2,Xbar_R!$K$2/3,FALSE)</f>
        <v>9.8791937962841941E-2</v>
      </c>
      <c r="Q82" s="140">
        <f t="shared" si="6"/>
        <v>0.22216939785557024</v>
      </c>
      <c r="R82" s="135">
        <f t="shared" si="7"/>
        <v>0.79939357602813355</v>
      </c>
    </row>
    <row r="83" spans="10:18" x14ac:dyDescent="0.2">
      <c r="J83" s="142">
        <v>1.54</v>
      </c>
      <c r="K83" s="143">
        <f>IF(ISBLANK(Xbar_R!$D$2), Xbar_R!$F$2-(J83*Formulas!$C$15), Xbar_R!$D$2-(J83*Formulas!$C$15))</f>
        <v>4.757132774433936</v>
      </c>
      <c r="L83" s="143">
        <f>IF(ISBLANK(Xbar_R!$D$2), NORMDIST(K83, Xbar_R!$F$2, Formulas!$C$15, FALSE), NORMDIST(K83, Xbar_R!$D$2, Formulas!$C$15, FALSE))</f>
        <v>0.10839081770426638</v>
      </c>
      <c r="M83" s="143">
        <f t="shared" si="5"/>
        <v>0.24421608075182372</v>
      </c>
      <c r="N83" s="140">
        <f>+IF(K83&gt;=(Formulas!$D$4), M83, 0)</f>
        <v>0</v>
      </c>
      <c r="O83" s="147">
        <f>+IF(K83&lt;=(Formulas!$D$3), M83, 0)</f>
        <v>0</v>
      </c>
      <c r="P83" s="147">
        <f>NORMDIST(K83,Xbar_R!$I$2,Xbar_R!$K$2/3,FALSE)</f>
        <v>0.105264164802228</v>
      </c>
      <c r="Q83" s="140">
        <f t="shared" si="6"/>
        <v>0.23672454040406343</v>
      </c>
      <c r="R83" s="135">
        <f t="shared" si="7"/>
        <v>0.79939357602813355</v>
      </c>
    </row>
    <row r="84" spans="10:18" x14ac:dyDescent="0.2">
      <c r="J84" s="142">
        <v>1.52</v>
      </c>
      <c r="K84" s="143">
        <f>IF(ISBLANK(Xbar_R!$D$2), Xbar_R!$F$2-(J84*Formulas!$C$15), Xbar_R!$D$2-(J84*Formulas!$C$15))</f>
        <v>4.7796213098308975</v>
      </c>
      <c r="L84" s="143">
        <f>IF(ISBLANK(Xbar_R!$D$2), NORMDIST(K84, Xbar_R!$F$2, Formulas!$C$15, FALSE), NORMDIST(K84, Xbar_R!$D$2, Formulas!$C$15, FALSE))</f>
        <v>0.11175884473656293</v>
      </c>
      <c r="M84" s="143">
        <f t="shared" si="5"/>
        <v>0.2518046051223829</v>
      </c>
      <c r="N84" s="140">
        <f>+IF(K84&gt;=(Formulas!$D$4), M84, 0)</f>
        <v>0</v>
      </c>
      <c r="O84" s="147">
        <f>+IF(K84&lt;=(Formulas!$D$3), M84, 0)</f>
        <v>0</v>
      </c>
      <c r="P84" s="147">
        <f>NORMDIST(K84,Xbar_R!$I$2,Xbar_R!$K$2/3,FALSE)</f>
        <v>0.1120328562937792</v>
      </c>
      <c r="Q84" s="140">
        <f t="shared" si="6"/>
        <v>0.25194639093111421</v>
      </c>
      <c r="R84" s="135">
        <f t="shared" si="7"/>
        <v>0.79939357602813355</v>
      </c>
    </row>
    <row r="85" spans="10:18" x14ac:dyDescent="0.2">
      <c r="J85" s="142">
        <v>1.5</v>
      </c>
      <c r="K85" s="143">
        <f>IF(ISBLANK(Xbar_R!$D$2), Xbar_R!$F$2-(J85*Formulas!$C$15), Xbar_R!$D$2-(J85*Formulas!$C$15))</f>
        <v>4.802109845227859</v>
      </c>
      <c r="L85" s="143">
        <f>IF(ISBLANK(Xbar_R!$D$2), NORMDIST(K85, Xbar_R!$F$2, Formulas!$C$15, FALSE), NORMDIST(K85, Xbar_R!$D$2, Formulas!$C$15, FALSE))</f>
        <v>0.11518544305325372</v>
      </c>
      <c r="M85" s="143">
        <f t="shared" si="5"/>
        <v>0.25952509684794794</v>
      </c>
      <c r="N85" s="140">
        <f>+IF(K85&gt;=(Formulas!$D$4), M85, 0)</f>
        <v>0</v>
      </c>
      <c r="O85" s="147">
        <f>+IF(K85&lt;=(Formulas!$D$3), M85, 0)</f>
        <v>0</v>
      </c>
      <c r="P85" s="147">
        <f>NORMDIST(K85,Xbar_R!$I$2,Xbar_R!$K$2/3,FALSE)</f>
        <v>0.11910118526073375</v>
      </c>
      <c r="Q85" s="140">
        <f t="shared" si="6"/>
        <v>0.2678420846771366</v>
      </c>
      <c r="R85" s="135">
        <f t="shared" si="7"/>
        <v>0.79939357602813355</v>
      </c>
    </row>
    <row r="86" spans="10:18" x14ac:dyDescent="0.2">
      <c r="J86" s="142">
        <v>1.48</v>
      </c>
      <c r="K86" s="143">
        <f>IF(ISBLANK(Xbar_R!$D$2), Xbar_R!$F$2-(J86*Formulas!$C$15), Xbar_R!$D$2-(J86*Formulas!$C$15))</f>
        <v>4.8245983806248214</v>
      </c>
      <c r="L86" s="143">
        <f>IF(ISBLANK(Xbar_R!$D$2), NORMDIST(K86, Xbar_R!$F$2, Formulas!$C$15, FALSE), NORMDIST(K86, Xbar_R!$D$2, Formulas!$C$15, FALSE))</f>
        <v>0.11866962574097106</v>
      </c>
      <c r="M86" s="143">
        <f t="shared" si="5"/>
        <v>0.2673753323073691</v>
      </c>
      <c r="N86" s="140">
        <f>+IF(K86&gt;=(Formulas!$D$4), M86, 0)</f>
        <v>0</v>
      </c>
      <c r="O86" s="147">
        <f>+IF(K86&lt;=(Formulas!$D$3), M86, 0)</f>
        <v>0</v>
      </c>
      <c r="P86" s="147">
        <f>NORMDIST(K86,Xbar_R!$I$2,Xbar_R!$K$2/3,FALSE)</f>
        <v>0.12647147215860266</v>
      </c>
      <c r="Q86" s="140">
        <f t="shared" si="6"/>
        <v>0.28441684002547502</v>
      </c>
      <c r="R86" s="135">
        <f t="shared" si="7"/>
        <v>0.79939357602813355</v>
      </c>
    </row>
    <row r="87" spans="10:18" x14ac:dyDescent="0.2">
      <c r="J87" s="142">
        <v>1.46</v>
      </c>
      <c r="K87" s="143">
        <f>IF(ISBLANK(Xbar_R!$D$2), Xbar_R!$F$2-(J87*Formulas!$C$15), Xbar_R!$D$2-(J87*Formulas!$C$15))</f>
        <v>4.8470869160217829</v>
      </c>
      <c r="L87" s="143">
        <f>IF(ISBLANK(Xbar_R!$D$2), NORMDIST(K87, Xbar_R!$F$2, Formulas!$C$15, FALSE), NORMDIST(K87, Xbar_R!$D$2, Formulas!$C$15, FALSE))</f>
        <v>0.12221030570167428</v>
      </c>
      <c r="M87" s="143">
        <f t="shared" si="5"/>
        <v>0.27535286215273558</v>
      </c>
      <c r="N87" s="140">
        <f>+IF(K87&gt;=(Formulas!$D$4), M87, 0)</f>
        <v>0</v>
      </c>
      <c r="O87" s="147">
        <f>+IF(K87&lt;=(Formulas!$D$3), M87, 0)</f>
        <v>0</v>
      </c>
      <c r="P87" s="147">
        <f>NORMDIST(K87,Xbar_R!$I$2,Xbar_R!$K$2/3,FALSE)</f>
        <v>0.1341451204368021</v>
      </c>
      <c r="Q87" s="140">
        <f t="shared" si="6"/>
        <v>0.30167381313966013</v>
      </c>
      <c r="R87" s="135">
        <f t="shared" si="7"/>
        <v>0.79939357602813355</v>
      </c>
    </row>
    <row r="88" spans="10:18" x14ac:dyDescent="0.2">
      <c r="J88" s="142">
        <v>1.44</v>
      </c>
      <c r="K88" s="143">
        <f>IF(ISBLANK(Xbar_R!$D$2), Xbar_R!$F$2-(J88*Formulas!$C$15), Xbar_R!$D$2-(J88*Formulas!$C$15))</f>
        <v>4.8695754514187453</v>
      </c>
      <c r="L88" s="143">
        <f>IF(ISBLANK(Xbar_R!$D$2), NORMDIST(K88, Xbar_R!$F$2, Formulas!$C$15, FALSE), NORMDIST(K88, Xbar_R!$D$2, Formulas!$C$15, FALSE))</f>
        <v>0.12580629438762791</v>
      </c>
      <c r="M88" s="143">
        <f t="shared" si="5"/>
        <v>0.28345500845914662</v>
      </c>
      <c r="N88" s="140">
        <f>+IF(K88&gt;=(Formulas!$D$4), M88, 0)</f>
        <v>0</v>
      </c>
      <c r="O88" s="147">
        <f>+IF(K88&lt;=(Formulas!$D$3), M88, 0)</f>
        <v>0</v>
      </c>
      <c r="P88" s="147">
        <f>NORMDIST(K88,Xbar_R!$I$2,Xbar_R!$K$2/3,FALSE)</f>
        <v>0.14212255323620318</v>
      </c>
      <c r="Q88" s="140">
        <f t="shared" si="6"/>
        <v>0.31961395560495759</v>
      </c>
      <c r="R88" s="135">
        <f t="shared" si="7"/>
        <v>0.79939357602813355</v>
      </c>
    </row>
    <row r="89" spans="10:18" x14ac:dyDescent="0.2">
      <c r="J89" s="142">
        <v>1.42</v>
      </c>
      <c r="K89" s="143">
        <f>IF(ISBLANK(Xbar_R!$D$2), Xbar_R!$F$2-(J89*Formulas!$C$15), Xbar_R!$D$2-(J89*Formulas!$C$15))</f>
        <v>4.8920639868157068</v>
      </c>
      <c r="L89" s="143">
        <f>IF(ISBLANK(Xbar_R!$D$2), NORMDIST(K89, Xbar_R!$F$2, Formulas!$C$15, FALSE), NORMDIST(K89, Xbar_R!$D$2, Formulas!$C$15, FALSE))</f>
        <v>0.12945630070423594</v>
      </c>
      <c r="M89" s="143">
        <f t="shared" si="5"/>
        <v>0.29167886225267997</v>
      </c>
      <c r="N89" s="140">
        <f>+IF(K89&gt;=(Formulas!$D$4), M89, 0)</f>
        <v>0</v>
      </c>
      <c r="O89" s="147">
        <f>+IF(K89&lt;=(Formulas!$D$3), M89, 0)</f>
        <v>0</v>
      </c>
      <c r="P89" s="147">
        <f>NORMDIST(K89,Xbar_R!$I$2,Xbar_R!$K$2/3,FALSE)</f>
        <v>0.15040315195008722</v>
      </c>
      <c r="Q89" s="140">
        <f t="shared" si="6"/>
        <v>0.33823587626045865</v>
      </c>
      <c r="R89" s="135">
        <f t="shared" si="7"/>
        <v>0.79939357602813355</v>
      </c>
    </row>
    <row r="90" spans="10:18" x14ac:dyDescent="0.2">
      <c r="J90" s="142">
        <v>1.4</v>
      </c>
      <c r="K90" s="143">
        <f>IF(ISBLANK(Xbar_R!$D$2), Xbar_R!$F$2-(J90*Formulas!$C$15), Xbar_R!$D$2-(J90*Formulas!$C$15))</f>
        <v>4.9145525222126691</v>
      </c>
      <c r="L90" s="143">
        <f>IF(ISBLANK(Xbar_R!$D$2), NORMDIST(K90, Xbar_R!$F$2, Formulas!$C$15, FALSE), NORMDIST(K90, Xbar_R!$D$2, Formulas!$C$15, FALSE))</f>
        <v>0.13315893008841526</v>
      </c>
      <c r="M90" s="143">
        <f t="shared" si="5"/>
        <v>0.3000212814338688</v>
      </c>
      <c r="N90" s="140">
        <f>+IF(K90&gt;=(Formulas!$D$4), M90, 0)</f>
        <v>0</v>
      </c>
      <c r="O90" s="147">
        <f>+IF(K90&lt;=(Formulas!$D$3), M90, 0)</f>
        <v>0</v>
      </c>
      <c r="P90" s="147">
        <f>NORMDIST(K90,Xbar_R!$I$2,Xbar_R!$K$2/3,FALSE)</f>
        <v>0.15898519719304341</v>
      </c>
      <c r="Q90" s="140">
        <f t="shared" si="6"/>
        <v>0.35753570844629939</v>
      </c>
      <c r="R90" s="135">
        <f t="shared" si="7"/>
        <v>0.79939357602813355</v>
      </c>
    </row>
    <row r="91" spans="10:18" x14ac:dyDescent="0.2">
      <c r="J91" s="142">
        <v>1.38</v>
      </c>
      <c r="K91" s="143">
        <f>IF(ISBLANK(Xbar_R!$D$2), Xbar_R!$F$2-(J91*Formulas!$C$15), Xbar_R!$D$2-(J91*Formulas!$C$15))</f>
        <v>4.9370410576096306</v>
      </c>
      <c r="L91" s="143">
        <f>IF(ISBLANK(Xbar_R!$D$2), NORMDIST(K91, Xbar_R!$F$2, Formulas!$C$15, FALSE), NORMDIST(K91, Xbar_R!$D$2, Formulas!$C$15, FALSE))</f>
        <v>0.13691268376991023</v>
      </c>
      <c r="M91" s="143">
        <f t="shared" si="5"/>
        <v>0.30847888911336457</v>
      </c>
      <c r="N91" s="140">
        <f>+IF(K91&gt;=(Formulas!$D$4), M91, 0)</f>
        <v>0</v>
      </c>
      <c r="O91" s="147">
        <f>+IF(K91&lt;=(Formulas!$D$3), M91, 0)</f>
        <v>0</v>
      </c>
      <c r="P91" s="147">
        <f>NORMDIST(K91,Xbar_R!$I$2,Xbar_R!$K$2/3,FALSE)</f>
        <v>0.16786581273529144</v>
      </c>
      <c r="Q91" s="140">
        <f t="shared" si="6"/>
        <v>0.37750698391971055</v>
      </c>
      <c r="R91" s="135">
        <f t="shared" si="7"/>
        <v>0.79939357602813355</v>
      </c>
    </row>
    <row r="92" spans="10:18" x14ac:dyDescent="0.2">
      <c r="J92" s="142">
        <v>1.36</v>
      </c>
      <c r="K92" s="143">
        <f>IF(ISBLANK(Xbar_R!$D$2), Xbar_R!$F$2-(J92*Formulas!$C$15), Xbar_R!$D$2-(J92*Formulas!$C$15))</f>
        <v>4.9595295930065921</v>
      </c>
      <c r="L92" s="143">
        <f>IF(ISBLANK(Xbar_R!$D$2), NORMDIST(K92, Xbar_R!$F$2, Formulas!$C$15, FALSE), NORMDIST(K92, Xbar_R!$D$2, Formulas!$C$15, FALSE))</f>
        <v>0.14071595822265826</v>
      </c>
      <c r="M92" s="143">
        <f t="shared" si="5"/>
        <v>0.31704807237580529</v>
      </c>
      <c r="N92" s="140">
        <f>+IF(K92&gt;=(Formulas!$D$4), M92, 0)</f>
        <v>0</v>
      </c>
      <c r="O92" s="147">
        <f>+IF(K92&lt;=(Formulas!$D$3), M92, 0)</f>
        <v>0</v>
      </c>
      <c r="P92" s="147">
        <f>NORMDIST(K92,Xbar_R!$I$2,Xbar_R!$K$2/3,FALSE)</f>
        <v>0.17704091296845398</v>
      </c>
      <c r="Q92" s="140">
        <f t="shared" si="6"/>
        <v>0.39814051471280948</v>
      </c>
      <c r="R92" s="135">
        <f t="shared" si="7"/>
        <v>0.79939357602813355</v>
      </c>
    </row>
    <row r="93" spans="10:18" x14ac:dyDescent="0.2">
      <c r="J93" s="142">
        <v>1.34</v>
      </c>
      <c r="K93" s="143">
        <f>IF(ISBLANK(Xbar_R!$D$2), Xbar_R!$F$2-(J93*Formulas!$C$15), Xbar_R!$D$2-(J93*Formulas!$C$15))</f>
        <v>4.9820181284035545</v>
      </c>
      <c r="L93" s="143">
        <f>IF(ISBLANK(Xbar_R!$D$2), NORMDIST(K93, Xbar_R!$F$2, Formulas!$C$15, FALSE), NORMDIST(K93, Xbar_R!$D$2, Formulas!$C$15, FALSE))</f>
        <v>0.14456704481297147</v>
      </c>
      <c r="M93" s="143">
        <f t="shared" si="5"/>
        <v>0.32572498148713103</v>
      </c>
      <c r="N93" s="140">
        <f>+IF(K93&gt;=(Formulas!$D$4), M93, 0)</f>
        <v>0</v>
      </c>
      <c r="O93" s="147">
        <f>+IF(K93&lt;=(Formulas!$D$3), M93, 0)</f>
        <v>0</v>
      </c>
      <c r="P93" s="147">
        <f>NORMDIST(K93,Xbar_R!$I$2,Xbar_R!$K$2/3,FALSE)</f>
        <v>0.18650515447250926</v>
      </c>
      <c r="Q93" s="140">
        <f t="shared" si="6"/>
        <v>0.41942428421337874</v>
      </c>
      <c r="R93" s="135">
        <f t="shared" si="7"/>
        <v>0.79939357602813355</v>
      </c>
    </row>
    <row r="94" spans="10:18" x14ac:dyDescent="0.2">
      <c r="J94" s="142">
        <v>1.32</v>
      </c>
      <c r="K94" s="143">
        <f>IF(ISBLANK(Xbar_R!$D$2), Xbar_R!$F$2-(J94*Formulas!$C$15), Xbar_R!$D$2-(J94*Formulas!$C$15))</f>
        <v>5.004506663800516</v>
      </c>
      <c r="L94" s="143">
        <f>IF(ISBLANK(Xbar_R!$D$2), NORMDIST(K94, Xbar_R!$F$2, Formulas!$C$15, FALSE), NORMDIST(K94, Xbar_R!$D$2, Formulas!$C$15, FALSE))</f>
        <v>0.14846412965093878</v>
      </c>
      <c r="M94" s="143">
        <f t="shared" si="5"/>
        <v>0.33450552955977708</v>
      </c>
      <c r="N94" s="140">
        <f>+IF(K94&gt;=(Formulas!$D$4), M94, 0)</f>
        <v>0</v>
      </c>
      <c r="O94" s="147">
        <f>+IF(K94&lt;=(Formulas!$D$3), M94, 0)</f>
        <v>0</v>
      </c>
      <c r="P94" s="147">
        <f>NORMDIST(K94,Xbar_R!$I$2,Xbar_R!$K$2/3,FALSE)</f>
        <v>0.19625189225227699</v>
      </c>
      <c r="Q94" s="140">
        <f t="shared" si="6"/>
        <v>0.44134334874677816</v>
      </c>
      <c r="R94" s="135">
        <f t="shared" si="7"/>
        <v>0.79939357602813355</v>
      </c>
    </row>
    <row r="95" spans="10:18" x14ac:dyDescent="0.2">
      <c r="J95" s="142">
        <v>1.3</v>
      </c>
      <c r="K95" s="143">
        <f>IF(ISBLANK(Xbar_R!$D$2), Xbar_R!$F$2-(J95*Formulas!$C$15), Xbar_R!$D$2-(J95*Formulas!$C$15))</f>
        <v>5.0269951991974784</v>
      </c>
      <c r="L95" s="143">
        <f>IF(ISBLANK(Xbar_R!$D$2), NORMDIST(K95, Xbar_R!$F$2, Formulas!$C$15, FALSE), NORMDIST(K95, Xbar_R!$D$2, Formulas!$C$15, FALSE))</f>
        <v>0.15240529365105623</v>
      </c>
      <c r="M95" s="143">
        <f t="shared" si="5"/>
        <v>0.34338539268928081</v>
      </c>
      <c r="N95" s="140">
        <f>+IF(K95&gt;=(Formulas!$D$4), M95, 0)</f>
        <v>0</v>
      </c>
      <c r="O95" s="147">
        <f>+IF(K95&lt;=(Formulas!$D$3), M95, 0)</f>
        <v>0</v>
      </c>
      <c r="P95" s="147">
        <f>NORMDIST(K95,Xbar_R!$I$2,Xbar_R!$K$2/3,FALSE)</f>
        <v>0.2062731412050198</v>
      </c>
      <c r="Q95" s="140">
        <f t="shared" si="6"/>
        <v>0.46387975092191364</v>
      </c>
      <c r="R95" s="135">
        <f t="shared" si="7"/>
        <v>0.79939357602813355</v>
      </c>
    </row>
    <row r="96" spans="10:18" x14ac:dyDescent="0.2">
      <c r="J96" s="142">
        <v>1.28</v>
      </c>
      <c r="K96" s="143">
        <f>IF(ISBLANK(Xbar_R!$D$2), Xbar_R!$F$2-(J96*Formulas!$C$15), Xbar_R!$D$2-(J96*Formulas!$C$15))</f>
        <v>5.0494837345944399</v>
      </c>
      <c r="L96" s="143">
        <f>IF(ISBLANK(Xbar_R!$D$2), NORMDIST(K96, Xbar_R!$F$2, Formulas!$C$15, FALSE), NORMDIST(K96, Xbar_R!$D$2, Formulas!$C$15, FALSE))</f>
        <v>0.15638851280765817</v>
      </c>
      <c r="M96" s="143">
        <f t="shared" si="5"/>
        <v>0.35236001057485672</v>
      </c>
      <c r="N96" s="140">
        <f>+IF(K96&gt;=(Formulas!$D$4), M96, 0)</f>
        <v>0</v>
      </c>
      <c r="O96" s="147">
        <f>+IF(K96&lt;=(Formulas!$D$3), M96, 0)</f>
        <v>0</v>
      </c>
      <c r="P96" s="147">
        <f>NORMDIST(K96,Xbar_R!$I$2,Xbar_R!$K$2/3,FALSE)</f>
        <v>0.21655954336834204</v>
      </c>
      <c r="Q96" s="140">
        <f t="shared" si="6"/>
        <v>0.48701244597629245</v>
      </c>
      <c r="R96" s="135">
        <f t="shared" si="7"/>
        <v>0.79939357602813355</v>
      </c>
    </row>
    <row r="97" spans="10:18" x14ac:dyDescent="0.2">
      <c r="J97" s="142">
        <v>1.26</v>
      </c>
      <c r="K97" s="143">
        <f>IF(ISBLANK(Xbar_R!$D$2), Xbar_R!$F$2-(J97*Formulas!$C$15), Xbar_R!$D$2-(J97*Formulas!$C$15))</f>
        <v>5.0719722699914023</v>
      </c>
      <c r="L97" s="143">
        <f>IF(ISBLANK(Xbar_R!$D$2), NORMDIST(K97, Xbar_R!$F$2, Formulas!$C$15, FALSE), NORMDIST(K97, Xbar_R!$D$2, Formulas!$C$15, FALSE))</f>
        <v>0.16041165869027457</v>
      </c>
      <c r="M97" s="143">
        <f t="shared" si="5"/>
        <v>0.36142458763549035</v>
      </c>
      <c r="N97" s="140">
        <f>+IF(K97&gt;=(Formulas!$D$4), M97, 0)</f>
        <v>0</v>
      </c>
      <c r="O97" s="147">
        <f>+IF(K97&lt;=(Formulas!$D$3), M97, 0)</f>
        <v>0</v>
      </c>
      <c r="P97" s="147">
        <f>NORMDIST(K97,Xbar_R!$I$2,Xbar_R!$K$2/3,FALSE)</f>
        <v>0.2271003414794196</v>
      </c>
      <c r="Q97" s="140">
        <f t="shared" si="6"/>
        <v>0.51071724231439108</v>
      </c>
      <c r="R97" s="135">
        <f t="shared" si="7"/>
        <v>0.79939357602813355</v>
      </c>
    </row>
    <row r="98" spans="10:18" x14ac:dyDescent="0.2">
      <c r="J98" s="142">
        <v>1.24</v>
      </c>
      <c r="K98" s="143">
        <f>IF(ISBLANK(Xbar_R!$D$2), Xbar_R!$F$2-(J98*Formulas!$C$15), Xbar_R!$D$2-(J98*Formulas!$C$15))</f>
        <v>5.0944608053883638</v>
      </c>
      <c r="L98" s="143">
        <f>IF(ISBLANK(Xbar_R!$D$2), NORMDIST(K98, Xbar_R!$F$2, Formulas!$C$15, FALSE), NORMDIST(K98, Xbar_R!$D$2, Formulas!$C$15, FALSE))</f>
        <v>0.16447249916354237</v>
      </c>
      <c r="M98" s="143">
        <f t="shared" si="5"/>
        <v>0.37057409463197466</v>
      </c>
      <c r="N98" s="140">
        <f>+IF(K98&gt;=(Formulas!$D$4), M98, 0)</f>
        <v>0</v>
      </c>
      <c r="O98" s="147">
        <f>+IF(K98&lt;=(Formulas!$D$3), M98, 0)</f>
        <v>0</v>
      </c>
      <c r="P98" s="147">
        <f>NORMDIST(K98,Xbar_R!$I$2,Xbar_R!$K$2/3,FALSE)</f>
        <v>0.23788335935249846</v>
      </c>
      <c r="Q98" s="140">
        <f t="shared" si="6"/>
        <v>0.53496675737936372</v>
      </c>
      <c r="R98" s="135">
        <f t="shared" si="7"/>
        <v>0.79939357602813355</v>
      </c>
    </row>
    <row r="99" spans="10:18" x14ac:dyDescent="0.2">
      <c r="J99" s="142">
        <v>1.22</v>
      </c>
      <c r="K99" s="143">
        <f>IF(ISBLANK(Xbar_R!$D$2), Xbar_R!$F$2-(J99*Formulas!$C$15), Xbar_R!$D$2-(J99*Formulas!$C$15))</f>
        <v>5.1169493407853253</v>
      </c>
      <c r="L99" s="143">
        <f>IF(ISBLANK(Xbar_R!$D$2), NORMDIST(K99, Xbar_R!$F$2, Formulas!$C$15, FALSE), NORMDIST(K99, Xbar_R!$D$2, Formulas!$C$15, FALSE))</f>
        <v>0.16856869933579285</v>
      </c>
      <c r="M99" s="143">
        <f t="shared" si="5"/>
        <v>0.37980327080417897</v>
      </c>
      <c r="N99" s="140">
        <f>+IF(K99&gt;=(Formulas!$D$4), M99, 0)</f>
        <v>0</v>
      </c>
      <c r="O99" s="147">
        <f>+IF(K99&lt;=(Formulas!$D$3), M99, 0)</f>
        <v>0</v>
      </c>
      <c r="P99" s="147">
        <f>NORMDIST(K99,Xbar_R!$I$2,Xbar_R!$K$2/3,FALSE)</f>
        <v>0.24889498955160283</v>
      </c>
      <c r="Q99" s="140">
        <f t="shared" si="6"/>
        <v>0.55973038993066959</v>
      </c>
      <c r="R99" s="135">
        <f t="shared" si="7"/>
        <v>0.79939357602813355</v>
      </c>
    </row>
    <row r="100" spans="10:18" x14ac:dyDescent="0.2">
      <c r="J100" s="142">
        <v>1.2</v>
      </c>
      <c r="K100" s="143">
        <f>IF(ISBLANK(Xbar_R!$D$2), Xbar_R!$F$2-(J100*Formulas!$C$15), Xbar_R!$D$2-(J100*Formulas!$C$15))</f>
        <v>5.1394378761822876</v>
      </c>
      <c r="L100" s="143">
        <f>IF(ISBLANK(Xbar_R!$D$2), NORMDIST(K100, Xbar_R!$F$2, Formulas!$C$15, FALSE), NORMDIST(K100, Xbar_R!$D$2, Formulas!$C$15, FALSE))</f>
        <v>0.17269782273988976</v>
      </c>
      <c r="M100" s="143">
        <f t="shared" si="5"/>
        <v>0.38910662653160316</v>
      </c>
      <c r="N100" s="140">
        <f>+IF(K100&gt;=(Formulas!$D$4), M100, 0)</f>
        <v>0</v>
      </c>
      <c r="O100" s="147">
        <f>+IF(K100&lt;=(Formulas!$D$3), M100, 0)</f>
        <v>0</v>
      </c>
      <c r="P100" s="147">
        <f>NORMDIST(K100,Xbar_R!$I$2,Xbar_R!$K$2/3,FALSE)</f>
        <v>0.26012018879940957</v>
      </c>
      <c r="Q100" s="140">
        <f t="shared" si="6"/>
        <v>0.58497430971926656</v>
      </c>
      <c r="R100" s="135">
        <f t="shared" si="7"/>
        <v>0.79939357602813355</v>
      </c>
    </row>
    <row r="101" spans="10:18" x14ac:dyDescent="0.2">
      <c r="J101" s="142">
        <v>1.18</v>
      </c>
      <c r="K101" s="143">
        <f>IF(ISBLANK(Xbar_R!$D$2), Xbar_R!$F$2-(J101*Formulas!$C$15), Xbar_R!$D$2-(J101*Formulas!$C$15))</f>
        <v>5.16192641157925</v>
      </c>
      <c r="L101" s="143">
        <f>IF(ISBLANK(Xbar_R!$D$2), NORMDIST(K101, Xbar_R!$F$2, Formulas!$C$15, FALSE), NORMDIST(K101, Xbar_R!$D$2, Formulas!$C$15, FALSE))</f>
        <v>0.17685733274932763</v>
      </c>
      <c r="M101" s="143">
        <f t="shared" si="5"/>
        <v>0.39847844652399828</v>
      </c>
      <c r="N101" s="140">
        <f>+IF(K101&gt;=(Formulas!$D$4), M101, 0)</f>
        <v>0</v>
      </c>
      <c r="O101" s="147">
        <f>+IF(K101&lt;=(Formulas!$D$3), M101, 0)</f>
        <v>0</v>
      </c>
      <c r="P101" s="147">
        <f>NORMDIST(K101,Xbar_R!$I$2,Xbar_R!$K$2/3,FALSE)</f>
        <v>0.27154248152144794</v>
      </c>
      <c r="Q101" s="140">
        <f t="shared" si="6"/>
        <v>0.61066146545802547</v>
      </c>
      <c r="R101" s="135">
        <f t="shared" si="7"/>
        <v>0.79939357602813355</v>
      </c>
    </row>
    <row r="102" spans="10:18" x14ac:dyDescent="0.2">
      <c r="J102" s="142">
        <v>1.1599999999999999</v>
      </c>
      <c r="K102" s="143">
        <f>IF(ISBLANK(Xbar_R!$D$2), Xbar_R!$F$2-(J102*Formulas!$C$15), Xbar_R!$D$2-(J102*Formulas!$C$15))</f>
        <v>5.1844149469762115</v>
      </c>
      <c r="L102" s="143">
        <f>IF(ISBLANK(Xbar_R!$D$2), NORMDIST(K102, Xbar_R!$F$2, Formulas!$C$15, FALSE), NORMDIST(K102, Xbar_R!$D$2, Formulas!$C$15, FALSE))</f>
        <v>0.18104459423201136</v>
      </c>
      <c r="M102" s="143">
        <f t="shared" si="5"/>
        <v>0.40791279354750853</v>
      </c>
      <c r="N102" s="140">
        <f>+IF(K102&gt;=(Formulas!$D$4), M102, 0)</f>
        <v>0</v>
      </c>
      <c r="O102" s="147">
        <f>+IF(K102&lt;=(Formulas!$D$3), M102, 0)</f>
        <v>0</v>
      </c>
      <c r="P102" s="147">
        <f>NORMDIST(K102,Xbar_R!$I$2,Xbar_R!$K$2/3,FALSE)</f>
        <v>0.28314397187726709</v>
      </c>
      <c r="Q102" s="140">
        <f t="shared" si="6"/>
        <v>0.63675161187816154</v>
      </c>
      <c r="R102" s="135">
        <f t="shared" si="7"/>
        <v>0.79939357602813355</v>
      </c>
    </row>
    <row r="103" spans="10:18" x14ac:dyDescent="0.2">
      <c r="J103" s="142">
        <v>1.1399999999999999</v>
      </c>
      <c r="K103" s="143">
        <f>IF(ISBLANK(Xbar_R!$D$2), Xbar_R!$F$2-(J103*Formulas!$C$15), Xbar_R!$D$2-(J103*Formulas!$C$15))</f>
        <v>5.206903482373173</v>
      </c>
      <c r="L103" s="143">
        <f>IF(ISBLANK(Xbar_R!$D$2), NORMDIST(K103, Xbar_R!$F$2, Formulas!$C$15, FALSE), NORMDIST(K103, Xbar_R!$D$2, Formulas!$C$15, FALSE))</f>
        <v>0.18525687544352037</v>
      </c>
      <c r="M103" s="143">
        <f t="shared" si="5"/>
        <v>0.41740351269039755</v>
      </c>
      <c r="N103" s="140">
        <f>+IF(K103&gt;=(Formulas!$D$4), M103, 0)</f>
        <v>0</v>
      </c>
      <c r="O103" s="147">
        <f>+IF(K103&lt;=(Formulas!$D$3), M103, 0)</f>
        <v>0</v>
      </c>
      <c r="P103" s="147">
        <f>NORMDIST(K103,Xbar_R!$I$2,Xbar_R!$K$2/3,FALSE)</f>
        <v>0.29490536457723643</v>
      </c>
      <c r="Q103" s="140">
        <f t="shared" si="6"/>
        <v>0.66320135654333767</v>
      </c>
      <c r="R103" s="135">
        <f t="shared" si="7"/>
        <v>0.79939357602813355</v>
      </c>
    </row>
    <row r="104" spans="10:18" x14ac:dyDescent="0.2">
      <c r="J104" s="142">
        <v>1.1200000000000001</v>
      </c>
      <c r="K104" s="143">
        <f>IF(ISBLANK(Xbar_R!$D$2), Xbar_R!$F$2-(J104*Formulas!$C$15), Xbar_R!$D$2-(J104*Formulas!$C$15))</f>
        <v>5.2293920177701345</v>
      </c>
      <c r="L104" s="143">
        <f>IF(ISBLANK(Xbar_R!$D$2), NORMDIST(K104, Xbar_R!$F$2, Formulas!$C$15, FALSE), NORMDIST(K104, Xbar_R!$D$2, Formulas!$C$15, FALSE))</f>
        <v>0.18949135016102703</v>
      </c>
      <c r="M104" s="143">
        <f t="shared" si="5"/>
        <v>0.42694423617099414</v>
      </c>
      <c r="N104" s="140">
        <f>+IF(K104&gt;=(Formulas!$D$4), M104, 0)</f>
        <v>0</v>
      </c>
      <c r="O104" s="147">
        <f>+IF(K104&lt;=(Formulas!$D$3), M104, 0)</f>
        <v>0</v>
      </c>
      <c r="P104" s="147">
        <f>NORMDIST(K104,Xbar_R!$I$2,Xbar_R!$K$2/3,FALSE)</f>
        <v>0.30680599472549958</v>
      </c>
      <c r="Q104" s="140">
        <f t="shared" si="6"/>
        <v>0.68996422696233806</v>
      </c>
      <c r="R104" s="135">
        <f t="shared" si="7"/>
        <v>0.79939357602813355</v>
      </c>
    </row>
    <row r="105" spans="10:18" x14ac:dyDescent="0.2">
      <c r="J105" s="142">
        <v>1.1000000000000001</v>
      </c>
      <c r="K105" s="143">
        <f>IF(ISBLANK(Xbar_R!$D$2), Xbar_R!$F$2-(J105*Formulas!$C$15), Xbar_R!$D$2-(J105*Formulas!$C$15))</f>
        <v>5.2518805531670969</v>
      </c>
      <c r="L105" s="143">
        <f>IF(ISBLANK(Xbar_R!$D$2), NORMDIST(K105, Xbar_R!$F$2, Formulas!$C$15, FALSE), NORMDIST(K105, Xbar_R!$D$2, Formulas!$C$15, FALSE))</f>
        <v>0.19374510005838938</v>
      </c>
      <c r="M105" s="143">
        <f t="shared" si="5"/>
        <v>0.43652838868902999</v>
      </c>
      <c r="N105" s="140">
        <f>+IF(K105&gt;=(Formulas!$D$4), M105, 0)</f>
        <v>0</v>
      </c>
      <c r="O105" s="147">
        <f>+IF(K105&lt;=(Formulas!$D$3), M105, 0)</f>
        <v>0</v>
      </c>
      <c r="P105" s="147">
        <f>NORMDIST(K105,Xbar_R!$I$2,Xbar_R!$K$2/3,FALSE)</f>
        <v>0.31882386686668696</v>
      </c>
      <c r="Q105" s="140">
        <f t="shared" si="6"/>
        <v>0.71699075839972204</v>
      </c>
      <c r="R105" s="135">
        <f t="shared" si="7"/>
        <v>0.79939357602813355</v>
      </c>
    </row>
    <row r="106" spans="10:18" x14ac:dyDescent="0.2">
      <c r="J106" s="142">
        <v>1.08</v>
      </c>
      <c r="K106" s="143">
        <f>IF(ISBLANK(Xbar_R!$D$2), Xbar_R!$F$2-(J106*Formulas!$C$15), Xbar_R!$D$2-(J106*Formulas!$C$15))</f>
        <v>5.2743690885640593</v>
      </c>
      <c r="L106" s="143">
        <f>IF(ISBLANK(Xbar_R!$D$2), NORMDIST(K106, Xbar_R!$F$2, Formulas!$C$15, FALSE), NORMDIST(K106, Xbar_R!$D$2, Formulas!$C$15, FALSE))</f>
        <v>0.1980151173222609</v>
      </c>
      <c r="M106" s="143">
        <f t="shared" si="5"/>
        <v>0.44614919332001385</v>
      </c>
      <c r="N106" s="140">
        <f>+IF(K106&gt;=(Formulas!$D$4), M106, 0)</f>
        <v>0</v>
      </c>
      <c r="O106" s="147">
        <f>+IF(K106&lt;=(Formulas!$D$3), M106, 0)</f>
        <v>0</v>
      </c>
      <c r="P106" s="147">
        <f>NORMDIST(K106,Xbar_R!$I$2,Xbar_R!$K$2/3,FALSE)</f>
        <v>0.33093570334672168</v>
      </c>
      <c r="Q106" s="140">
        <f t="shared" si="6"/>
        <v>0.74422860263258395</v>
      </c>
      <c r="R106" s="135">
        <f t="shared" si="7"/>
        <v>0.79939357602813355</v>
      </c>
    </row>
    <row r="107" spans="10:18" x14ac:dyDescent="0.2">
      <c r="J107" s="142">
        <v>1.06</v>
      </c>
      <c r="K107" s="143">
        <f>IF(ISBLANK(Xbar_R!$D$2), Xbar_R!$F$2-(J107*Formulas!$C$15), Xbar_R!$D$2-(J107*Formulas!$C$15))</f>
        <v>5.2968576239610208</v>
      </c>
      <c r="L107" s="143">
        <f>IF(ISBLANK(Xbar_R!$D$2), NORMDIST(K107, Xbar_R!$F$2, Formulas!$C$15, FALSE), NORMDIST(K107, Xbar_R!$D$2, Formulas!$C$15, FALSE))</f>
        <v>0.20229830750838154</v>
      </c>
      <c r="M107" s="143">
        <f t="shared" si="5"/>
        <v>0.45579967795076026</v>
      </c>
      <c r="N107" s="140">
        <f>+IF(K107&gt;=(Formulas!$D$4), M107, 0)</f>
        <v>0</v>
      </c>
      <c r="O107" s="147">
        <f>+IF(K107&lt;=(Formulas!$D$3), M107, 0)</f>
        <v>0</v>
      </c>
      <c r="P107" s="147">
        <f>NORMDIST(K107,Xbar_R!$I$2,Xbar_R!$K$2/3,FALSE)</f>
        <v>0.34311700202698892</v>
      </c>
      <c r="Q107" s="140">
        <f t="shared" si="6"/>
        <v>0.77162265774173389</v>
      </c>
      <c r="R107" s="135">
        <f t="shared" si="7"/>
        <v>0.79939357602813355</v>
      </c>
    </row>
    <row r="108" spans="10:18" x14ac:dyDescent="0.2">
      <c r="J108" s="142">
        <v>1.04</v>
      </c>
      <c r="K108" s="143">
        <f>IF(ISBLANK(Xbar_R!$D$2), Xbar_R!$F$2-(J108*Formulas!$C$15), Xbar_R!$D$2-(J108*Formulas!$C$15))</f>
        <v>5.3193461593579823</v>
      </c>
      <c r="L108" s="143">
        <f>IF(ISBLANK(Xbar_R!$D$2), NORMDIST(K108, Xbar_R!$F$2, Formulas!$C$15, FALSE), NORMDIST(K108, Xbar_R!$D$2, Formulas!$C$15, FALSE))</f>
        <v>0.20659149263650903</v>
      </c>
      <c r="M108" s="143">
        <f t="shared" si="5"/>
        <v>0.46547268225260008</v>
      </c>
      <c r="N108" s="140">
        <f>+IF(K108&gt;=(Formulas!$D$4), M108, 0)</f>
        <v>0</v>
      </c>
      <c r="O108" s="147">
        <f>+IF(K108&lt;=(Formulas!$D$3), M108, 0)</f>
        <v>0</v>
      </c>
      <c r="P108" s="147">
        <f>NORMDIST(K108,Xbar_R!$I$2,Xbar_R!$K$2/3,FALSE)</f>
        <v>0.35534210331682542</v>
      </c>
      <c r="Q108" s="140">
        <f t="shared" si="6"/>
        <v>0.79911521885849135</v>
      </c>
      <c r="R108" s="135">
        <f t="shared" si="7"/>
        <v>0.79939357602813355</v>
      </c>
    </row>
    <row r="109" spans="10:18" x14ac:dyDescent="0.2">
      <c r="J109" s="142">
        <v>1.02</v>
      </c>
      <c r="K109" s="143">
        <f>IF(ISBLANK(Xbar_R!$D$2), Xbar_R!$F$2-(J109*Formulas!$C$15), Xbar_R!$D$2-(J109*Formulas!$C$15))</f>
        <v>5.3418346947549447</v>
      </c>
      <c r="L109" s="143">
        <f>IF(ISBLANK(Xbar_R!$D$2), NORMDIST(K109, Xbar_R!$F$2, Formulas!$C$15, FALSE), NORMDIST(K109, Xbar_R!$D$2, Formulas!$C$15, FALSE))</f>
        <v>0.21089141452174365</v>
      </c>
      <c r="M109" s="143">
        <f t="shared" si="5"/>
        <v>0.47516086518721101</v>
      </c>
      <c r="N109" s="140">
        <f>+IF(K109&gt;=(Formulas!$D$4), M109, 0)</f>
        <v>0</v>
      </c>
      <c r="O109" s="147">
        <f>+IF(K109&lt;=(Formulas!$D$3), M109, 0)</f>
        <v>0</v>
      </c>
      <c r="P109" s="147">
        <f>NORMDIST(K109,Xbar_R!$I$2,Xbar_R!$K$2/3,FALSE)</f>
        <v>0.3675842664124005</v>
      </c>
      <c r="Q109" s="140">
        <f t="shared" si="6"/>
        <v>0.82664614961537752</v>
      </c>
      <c r="R109" s="135">
        <f t="shared" si="7"/>
        <v>0.79939357602813355</v>
      </c>
    </row>
    <row r="110" spans="10:18" x14ac:dyDescent="0.2">
      <c r="J110" s="142">
        <v>1</v>
      </c>
      <c r="K110" s="143">
        <f>IF(ISBLANK(Xbar_R!$D$2), Xbar_R!$F$2-(J110*Formulas!$C$15), Xbar_R!$D$2-(J110*Formulas!$C$15))</f>
        <v>5.3643232301519062</v>
      </c>
      <c r="L110" s="143">
        <f>IF(ISBLANK(Xbar_R!$D$2), NORMDIST(K110, Xbar_R!$F$2, Formulas!$C$15, FALSE), NORMDIST(K110, Xbar_R!$D$2, Formulas!$C$15, FALSE))</f>
        <v>0.21519473833928079</v>
      </c>
      <c r="M110" s="143">
        <f t="shared" si="5"/>
        <v>0.48485671303838496</v>
      </c>
      <c r="N110" s="140">
        <f>+IF(K110&gt;=(Formulas!$D$4), M110, 0)</f>
        <v>0</v>
      </c>
      <c r="O110" s="147">
        <f>+IF(K110&lt;=(Formulas!$D$3), M110, 0)</f>
        <v>0</v>
      </c>
      <c r="P110" s="147">
        <f>NORMDIST(K110,Xbar_R!$I$2,Xbar_R!$K$2/3,FALSE)</f>
        <v>0.37981575455128808</v>
      </c>
      <c r="Q110" s="140">
        <f t="shared" si="6"/>
        <v>0.85415307387185191</v>
      </c>
      <c r="R110" s="135">
        <f t="shared" si="7"/>
        <v>0.79939357602813355</v>
      </c>
    </row>
    <row r="111" spans="10:18" x14ac:dyDescent="0.2">
      <c r="J111" s="142">
        <v>0.98</v>
      </c>
      <c r="K111" s="143">
        <f>IF(ISBLANK(Xbar_R!$D$2), Xbar_R!$F$2-(J111*Formulas!$C$15), Xbar_R!$D$2-(J111*Formulas!$C$15))</f>
        <v>5.3868117655488685</v>
      </c>
      <c r="L111" s="143">
        <f>IF(ISBLANK(Xbar_R!$D$2), NORMDIST(K111, Xbar_R!$F$2, Formulas!$C$15, FALSE), NORMDIST(K111, Xbar_R!$D$2, Formulas!$C$15, FALSE))</f>
        <v>0.21949805641890385</v>
      </c>
      <c r="M111" s="143">
        <f t="shared" si="5"/>
        <v>0.494552547961426</v>
      </c>
      <c r="N111" s="140">
        <f>+IF(K111&gt;=(Formulas!$D$4), M111, 0)</f>
        <v>0</v>
      </c>
      <c r="O111" s="147">
        <f>+IF(K111&lt;=(Formulas!$D$3), M111, 0)</f>
        <v>0</v>
      </c>
      <c r="P111" s="147">
        <f>NORMDIST(K111,Xbar_R!$I$2,Xbar_R!$K$2/3,FALSE)</f>
        <v>0.39200792901213499</v>
      </c>
      <c r="Q111" s="140">
        <f t="shared" si="6"/>
        <v>0.8815715871065577</v>
      </c>
      <c r="R111" s="135">
        <f t="shared" si="7"/>
        <v>0.79939357602813355</v>
      </c>
    </row>
    <row r="112" spans="10:18" x14ac:dyDescent="0.2">
      <c r="J112" s="142">
        <v>0.96</v>
      </c>
      <c r="K112" s="143">
        <f>IF(ISBLANK(Xbar_R!$D$2), Xbar_R!$F$2-(J112*Formulas!$C$15), Xbar_R!$D$2-(J112*Formulas!$C$15))</f>
        <v>5.40930030094583</v>
      </c>
      <c r="L112" s="143">
        <f>IF(ISBLANK(Xbar_R!$D$2), NORMDIST(K112, Xbar_R!$F$2, Formulas!$C$15, FALSE), NORMDIST(K112, Xbar_R!$D$2, Formulas!$C$15, FALSE))</f>
        <v>0.22379789226479668</v>
      </c>
      <c r="M112" s="143">
        <f t="shared" si="5"/>
        <v>0.50424053704021699</v>
      </c>
      <c r="N112" s="140">
        <f>+IF(K112&gt;=(Formulas!$D$4), M112, 0)</f>
        <v>0</v>
      </c>
      <c r="O112" s="147">
        <f>+IF(K112&lt;=(Formulas!$D$3), M112, 0)</f>
        <v>0</v>
      </c>
      <c r="P112" s="147">
        <f>NORMDIST(K112,Xbar_R!$I$2,Xbar_R!$K$2/3,FALSE)</f>
        <v>0.40413135150856461</v>
      </c>
      <c r="Q112" s="140">
        <f t="shared" si="6"/>
        <v>0.90883548668704273</v>
      </c>
      <c r="R112" s="135">
        <f t="shared" si="7"/>
        <v>0.79939357602813355</v>
      </c>
    </row>
    <row r="113" spans="10:18" x14ac:dyDescent="0.2">
      <c r="J113" s="142">
        <v>0.94</v>
      </c>
      <c r="K113" s="143">
        <f>IF(ISBLANK(Xbar_R!$D$2), Xbar_R!$F$2-(J113*Formulas!$C$15), Xbar_R!$D$2-(J113*Formulas!$C$15))</f>
        <v>5.4317888363427915</v>
      </c>
      <c r="L113" s="143">
        <f>IF(ISBLANK(Xbar_R!$D$2), NORMDIST(K113, Xbar_R!$F$2, Formulas!$C$15, FALSE), NORMDIST(K113, Xbar_R!$D$2, Formulas!$C$15, FALSE))</f>
        <v>0.22809070479553648</v>
      </c>
      <c r="M113" s="143">
        <f t="shared" si="5"/>
        <v>0.51391270184037541</v>
      </c>
      <c r="N113" s="140">
        <f>+IF(K113&gt;=(Formulas!$D$4), M113, 0)</f>
        <v>0</v>
      </c>
      <c r="O113" s="147">
        <f>+IF(K113&lt;=(Formulas!$D$3), M113, 0)</f>
        <v>0</v>
      </c>
      <c r="P113" s="147">
        <f>NORMDIST(K113,Xbar_R!$I$2,Xbar_R!$K$2/3,FALSE)</f>
        <v>0.41615589454671909</v>
      </c>
      <c r="Q113" s="140">
        <f t="shared" si="6"/>
        <v>0.93587702004860085</v>
      </c>
      <c r="R113" s="135">
        <f t="shared" si="7"/>
        <v>0.79939357602813355</v>
      </c>
    </row>
    <row r="114" spans="10:18" x14ac:dyDescent="0.2">
      <c r="J114" s="142">
        <v>0.92</v>
      </c>
      <c r="K114" s="143">
        <f>IF(ISBLANK(Xbar_R!$D$2), Xbar_R!$F$2-(J114*Formulas!$C$15), Xbar_R!$D$2-(J114*Formulas!$C$15))</f>
        <v>5.4542773717397539</v>
      </c>
      <c r="L114" s="143">
        <f>IF(ISBLANK(Xbar_R!$D$2), NORMDIST(K114, Xbar_R!$F$2, Formulas!$C$15, FALSE), NORMDIST(K114, Xbar_R!$D$2, Formulas!$C$15, FALSE))</f>
        <v>0.23237289279839179</v>
      </c>
      <c r="M114" s="143">
        <f t="shared" si="5"/>
        <v>0.52356092844526281</v>
      </c>
      <c r="N114" s="140">
        <f>+IF(K114&gt;=(Formulas!$D$4), M114, 0)</f>
        <v>0</v>
      </c>
      <c r="O114" s="147">
        <f>+IF(K114&lt;=(Formulas!$D$3), M114, 0)</f>
        <v>0</v>
      </c>
      <c r="P114" s="147">
        <f>NORMDIST(K114,Xbar_R!$I$2,Xbar_R!$K$2/3,FALSE)</f>
        <v>0.42805085923737934</v>
      </c>
      <c r="Q114" s="140">
        <f t="shared" si="6"/>
        <v>0.96262714963742668</v>
      </c>
      <c r="R114" s="135">
        <f t="shared" si="7"/>
        <v>0.79939357602813355</v>
      </c>
    </row>
    <row r="115" spans="10:18" x14ac:dyDescent="0.2">
      <c r="J115" s="142">
        <v>0.9</v>
      </c>
      <c r="K115" s="143">
        <f>IF(ISBLANK(Xbar_R!$D$2), Xbar_R!$F$2-(J115*Formulas!$C$15), Xbar_R!$D$2-(J115*Formulas!$C$15))</f>
        <v>5.4767659071367163</v>
      </c>
      <c r="L115" s="143">
        <f>IF(ISBLANK(Xbar_R!$D$2), NORMDIST(K115, Xbar_R!$F$2, Formulas!$C$15, FALSE), NORMDIST(K115, Xbar_R!$D$2, Formulas!$C$15, FALSE))</f>
        <v>0.23664079959133494</v>
      </c>
      <c r="M115" s="143">
        <f t="shared" si="5"/>
        <v>0.53317697795999608</v>
      </c>
      <c r="N115" s="140">
        <f>+IF(K115&gt;=(Formulas!$D$4), M115, 0)</f>
        <v>0</v>
      </c>
      <c r="O115" s="147">
        <f>+IF(K115&lt;=(Formulas!$D$3), M115, 0)</f>
        <v>0</v>
      </c>
      <c r="P115" s="147">
        <f>NORMDIST(K115,Xbar_R!$I$2,Xbar_R!$K$2/3,FALSE)</f>
        <v>0.43978509997736409</v>
      </c>
      <c r="Q115" s="140">
        <f t="shared" si="6"/>
        <v>0.98901583330182918</v>
      </c>
      <c r="R115" s="135">
        <f t="shared" si="7"/>
        <v>0.79939357602813355</v>
      </c>
    </row>
    <row r="116" spans="10:18" x14ac:dyDescent="0.2">
      <c r="J116" s="142">
        <v>0.88</v>
      </c>
      <c r="K116" s="143">
        <f>IF(ISBLANK(Xbar_R!$D$2), Xbar_R!$F$2-(J116*Formulas!$C$15), Xbar_R!$D$2-(J116*Formulas!$C$15))</f>
        <v>5.4992544425336778</v>
      </c>
      <c r="L116" s="143">
        <f>IF(ISBLANK(Xbar_R!$D$2), NORMDIST(K116, Xbar_R!$F$2, Formulas!$C$15, FALSE), NORMDIST(K116, Xbar_R!$D$2, Formulas!$C$15, FALSE))</f>
        <v>0.24089071788546157</v>
      </c>
      <c r="M116" s="143">
        <f t="shared" si="5"/>
        <v>0.54275249746699783</v>
      </c>
      <c r="N116" s="140">
        <f>+IF(K116&gt;=(Formulas!$D$4), M116, 0)</f>
        <v>0</v>
      </c>
      <c r="O116" s="147">
        <f>+IF(K116&lt;=(Formulas!$D$3), M116, 0)</f>
        <v>0</v>
      </c>
      <c r="P116" s="147">
        <f>NORMDIST(K116,Xbar_R!$I$2,Xbar_R!$K$2/3,FALSE)</f>
        <v>0.45132715534169898</v>
      </c>
      <c r="Q116" s="140">
        <f t="shared" si="6"/>
        <v>1.0149723186506077</v>
      </c>
      <c r="R116" s="135">
        <f t="shared" si="7"/>
        <v>0.79939357602813355</v>
      </c>
    </row>
    <row r="117" spans="10:18" x14ac:dyDescent="0.2">
      <c r="J117" s="142">
        <v>0.86</v>
      </c>
      <c r="K117" s="143">
        <f>IF(ISBLANK(Xbar_R!$D$2), Xbar_R!$F$2-(J117*Formulas!$C$15), Xbar_R!$D$2-(J117*Formulas!$C$15))</f>
        <v>5.5217429779306393</v>
      </c>
      <c r="L117" s="143">
        <f>IF(ISBLANK(Xbar_R!$D$2), NORMDIST(K117, Xbar_R!$F$2, Formulas!$C$15, FALSE), NORMDIST(K117, Xbar_R!$D$2, Formulas!$C$15, FALSE))</f>
        <v>0.24511889483980503</v>
      </c>
      <c r="M117" s="143">
        <f t="shared" si="5"/>
        <v>0.55227903141503265</v>
      </c>
      <c r="N117" s="140">
        <f>+IF(K117&gt;=(Formulas!$D$4), M117, 0)</f>
        <v>0</v>
      </c>
      <c r="O117" s="147">
        <f>+IF(K117&lt;=(Formulas!$D$3), M117, 0)</f>
        <v>0</v>
      </c>
      <c r="P117" s="147">
        <f>NORMDIST(K117,Xbar_R!$I$2,Xbar_R!$K$2/3,FALSE)</f>
        <v>0.46264538445872977</v>
      </c>
      <c r="Q117" s="140">
        <f t="shared" si="6"/>
        <v>1.0404254497418097</v>
      </c>
      <c r="R117" s="135">
        <f t="shared" si="7"/>
        <v>0.79939357602813355</v>
      </c>
    </row>
    <row r="118" spans="10:18" x14ac:dyDescent="0.2">
      <c r="J118" s="142">
        <v>0.84</v>
      </c>
      <c r="K118" s="143">
        <f>IF(ISBLANK(Xbar_R!$D$2), Xbar_R!$F$2-(J118*Formulas!$C$15), Xbar_R!$D$2-(J118*Formulas!$C$15))</f>
        <v>5.5442315133276017</v>
      </c>
      <c r="L118" s="143">
        <f>IF(ISBLANK(Xbar_R!$D$2), NORMDIST(K118, Xbar_R!$F$2, Formulas!$C$15, FALSE), NORMDIST(K118, Xbar_R!$D$2, Formulas!$C$15, FALSE))</f>
        <v>0.24932153729984041</v>
      </c>
      <c r="M118" s="143">
        <f t="shared" si="5"/>
        <v>0.56174803342211554</v>
      </c>
      <c r="N118" s="140">
        <f>+IF(K118&gt;=(Formulas!$D$4), M118, 0)</f>
        <v>0</v>
      </c>
      <c r="O118" s="147">
        <f>+IF(K118&lt;=(Formulas!$D$3), M118, 0)</f>
        <v>0</v>
      </c>
      <c r="P118" s="147">
        <f>NORMDIST(K118,Xbar_R!$I$2,Xbar_R!$K$2/3,FALSE)</f>
        <v>0.47370810807577252</v>
      </c>
      <c r="Q118" s="140">
        <f t="shared" si="6"/>
        <v>1.0653039843198582</v>
      </c>
      <c r="R118" s="135">
        <f t="shared" si="7"/>
        <v>0.79939357602813355</v>
      </c>
    </row>
    <row r="119" spans="10:18" x14ac:dyDescent="0.2">
      <c r="J119" s="142">
        <v>0.82</v>
      </c>
      <c r="K119" s="143">
        <f>IF(ISBLANK(Xbar_R!$D$2), Xbar_R!$F$2-(J119*Formulas!$C$15), Xbar_R!$D$2-(J119*Formulas!$C$15))</f>
        <v>5.5667200487245632</v>
      </c>
      <c r="L119" s="143">
        <f>IF(ISBLANK(Xbar_R!$D$2), NORMDIST(K119, Xbar_R!$F$2, Formulas!$C$15, FALSE), NORMDIST(K119, Xbar_R!$D$2, Formulas!$C$15, FALSE))</f>
        <v>0.25349481721029687</v>
      </c>
      <c r="M119" s="143">
        <f t="shared" si="5"/>
        <v>0.57115087847115587</v>
      </c>
      <c r="N119" s="140">
        <f>+IF(K119&gt;=(Formulas!$D$4), M119, 0)</f>
        <v>0</v>
      </c>
      <c r="O119" s="147">
        <f>+IF(K119&lt;=(Formulas!$D$3), M119, 0)</f>
        <v>0</v>
      </c>
      <c r="P119" s="147">
        <f>NORMDIST(K119,Xbar_R!$I$2,Xbar_R!$K$2/3,FALSE)</f>
        <v>0.48448375346384509</v>
      </c>
      <c r="Q119" s="140">
        <f t="shared" si="6"/>
        <v>1.0895369196862408</v>
      </c>
      <c r="R119" s="135">
        <f t="shared" si="7"/>
        <v>0.79939357602813355</v>
      </c>
    </row>
    <row r="120" spans="10:18" x14ac:dyDescent="0.2">
      <c r="J120" s="142">
        <v>0.8</v>
      </c>
      <c r="K120" s="143">
        <f>IF(ISBLANK(Xbar_R!$D$2), Xbar_R!$F$2-(J120*Formulas!$C$15), Xbar_R!$D$2-(J120*Formulas!$C$15))</f>
        <v>5.5892085841215255</v>
      </c>
      <c r="L120" s="143">
        <f>IF(ISBLANK(Xbar_R!$D$2), NORMDIST(K120, Xbar_R!$F$2, Formulas!$C$15, FALSE), NORMDIST(K120, Xbar_R!$D$2, Formulas!$C$15, FALSE))</f>
        <v>0.25763487719224176</v>
      </c>
      <c r="M120" s="143">
        <f t="shared" si="5"/>
        <v>0.58047887547572363</v>
      </c>
      <c r="N120" s="140">
        <f>+IF(K120&gt;=(Formulas!$D$4), M120, 0)</f>
        <v>0</v>
      </c>
      <c r="O120" s="147">
        <f>+IF(K120&lt;=(Formulas!$D$3), M120, 0)</f>
        <v>0</v>
      </c>
      <c r="P120" s="147">
        <f>NORMDIST(K120,Xbar_R!$I$2,Xbar_R!$K$2/3,FALSE)</f>
        <v>0.49494100225726745</v>
      </c>
      <c r="Q120" s="140">
        <f t="shared" si="6"/>
        <v>1.1130538251703137</v>
      </c>
      <c r="R120" s="135">
        <f t="shared" si="7"/>
        <v>0.79939357602813355</v>
      </c>
    </row>
    <row r="121" spans="10:18" x14ac:dyDescent="0.2">
      <c r="J121" s="142">
        <v>0.78</v>
      </c>
      <c r="K121" s="143">
        <f>IF(ISBLANK(Xbar_R!$D$2), Xbar_R!$F$2-(J121*Formulas!$C$15), Xbar_R!$D$2-(J121*Formulas!$C$15))</f>
        <v>5.611697119518487</v>
      </c>
      <c r="L121" s="143">
        <f>IF(ISBLANK(Xbar_R!$D$2), NORMDIST(K121, Xbar_R!$F$2, Formulas!$C$15, FALSE), NORMDIST(K121, Xbar_R!$D$2, Formulas!$C$15, FALSE))</f>
        <v>0.2617378362737528</v>
      </c>
      <c r="M121" s="143">
        <f t="shared" si="5"/>
        <v>0.58972328019186493</v>
      </c>
      <c r="N121" s="140">
        <f>+IF(K121&gt;=(Formulas!$D$4), M121, 0)</f>
        <v>0</v>
      </c>
      <c r="O121" s="147">
        <f>+IF(K121&lt;=(Formulas!$D$3), M121, 0)</f>
        <v>0</v>
      </c>
      <c r="P121" s="147">
        <f>NORMDIST(K121,Xbar_R!$I$2,Xbar_R!$K$2/3,FALSE)</f>
        <v>0.50504894027813885</v>
      </c>
      <c r="Q121" s="140">
        <f t="shared" si="6"/>
        <v>1.1357851790638174</v>
      </c>
      <c r="R121" s="135">
        <f t="shared" si="7"/>
        <v>0.79939357602813355</v>
      </c>
    </row>
    <row r="122" spans="10:18" x14ac:dyDescent="0.2">
      <c r="J122" s="142">
        <v>0.76</v>
      </c>
      <c r="K122" s="143">
        <f>IF(ISBLANK(Xbar_R!$D$2), Xbar_R!$F$2-(J122*Formulas!$C$15), Xbar_R!$D$2-(J122*Formulas!$C$15))</f>
        <v>5.6341856549154485</v>
      </c>
      <c r="L122" s="143">
        <f>IF(ISBLANK(Xbar_R!$D$2), NORMDIST(K122, Xbar_R!$F$2, Formulas!$C$15, FALSE), NORMDIST(K122, Xbar_R!$D$2, Formulas!$C$15, FALSE))</f>
        <v>0.26579979576289287</v>
      </c>
      <c r="M122" s="143">
        <f t="shared" si="5"/>
        <v>0.59887530845054104</v>
      </c>
      <c r="N122" s="140">
        <f>+IF(K122&gt;=(Formulas!$D$4), M122, 0)</f>
        <v>0</v>
      </c>
      <c r="O122" s="147">
        <f>+IF(K122&lt;=(Formulas!$D$3), M122, 0)</f>
        <v>0</v>
      </c>
      <c r="P122" s="147">
        <f>NORMDIST(K122,Xbar_R!$I$2,Xbar_R!$K$2/3,FALSE)</f>
        <v>0.51477720835760898</v>
      </c>
      <c r="Q122" s="140">
        <f t="shared" si="6"/>
        <v>1.1576627077970463</v>
      </c>
      <c r="R122" s="135">
        <f t="shared" si="7"/>
        <v>0.79939357602813355</v>
      </c>
    </row>
    <row r="123" spans="10:18" x14ac:dyDescent="0.2">
      <c r="J123" s="142">
        <v>0.74</v>
      </c>
      <c r="K123" s="143">
        <f>IF(ISBLANK(Xbar_R!$D$2), Xbar_R!$F$2-(J123*Formulas!$C$15), Xbar_R!$D$2-(J123*Formulas!$C$15))</f>
        <v>5.6566741903124109</v>
      </c>
      <c r="L123" s="143">
        <f>IF(ISBLANK(Xbar_R!$D$2), NORMDIST(K123, Xbar_R!$F$2, Formulas!$C$15, FALSE), NORMDIST(K123, Xbar_R!$D$2, Formulas!$C$15, FALSE))</f>
        <v>0.26981684525110239</v>
      </c>
      <c r="M123" s="143">
        <f t="shared" si="5"/>
        <v>0.60792614968391279</v>
      </c>
      <c r="N123" s="140">
        <f>+IF(K123&gt;=(Formulas!$D$4), M123, 0)</f>
        <v>0</v>
      </c>
      <c r="O123" s="147">
        <f>+IF(K123&lt;=(Formulas!$D$3), M123, 0)</f>
        <v>0</v>
      </c>
      <c r="P123" s="147">
        <f>NORMDIST(K123,Xbar_R!$I$2,Xbar_R!$K$2/3,FALSE)</f>
        <v>0.52409615313592728</v>
      </c>
      <c r="Q123" s="140">
        <f t="shared" si="6"/>
        <v>1.1786197250672916</v>
      </c>
      <c r="R123" s="135">
        <f t="shared" si="7"/>
        <v>0.79939357602813355</v>
      </c>
    </row>
    <row r="124" spans="10:18" x14ac:dyDescent="0.2">
      <c r="J124" s="142">
        <v>0.72</v>
      </c>
      <c r="K124" s="143">
        <f>IF(ISBLANK(Xbar_R!$D$2), Xbar_R!$F$2-(J124*Formulas!$C$15), Xbar_R!$D$2-(J124*Formulas!$C$15))</f>
        <v>5.6791627257093724</v>
      </c>
      <c r="L124" s="143">
        <f>IF(ISBLANK(Xbar_R!$D$2), NORMDIST(K124, Xbar_R!$F$2, Formulas!$C$15, FALSE), NORMDIST(K124, Xbar_R!$D$2, Formulas!$C$15, FALSE))</f>
        <v>0.2737850687345717</v>
      </c>
      <c r="M124" s="143">
        <f t="shared" si="5"/>
        <v>0.61686698071744483</v>
      </c>
      <c r="N124" s="140">
        <f>+IF(K124&gt;=(Formulas!$D$4), M124, 0)</f>
        <v>0</v>
      </c>
      <c r="O124" s="147">
        <f>+IF(K124&lt;=(Formulas!$D$3), M124, 0)</f>
        <v>0</v>
      </c>
      <c r="P124" s="147">
        <f>NORMDIST(K124,Xbar_R!$I$2,Xbar_R!$K$2/3,FALSE)</f>
        <v>0.53297697680208023</v>
      </c>
      <c r="Q124" s="140">
        <f t="shared" si="6"/>
        <v>1.1985914685825652</v>
      </c>
      <c r="R124" s="135">
        <f t="shared" si="7"/>
        <v>0.79939357602813355</v>
      </c>
    </row>
    <row r="125" spans="10:18" x14ac:dyDescent="0.2">
      <c r="J125" s="142">
        <v>0.7</v>
      </c>
      <c r="K125" s="143">
        <f>IF(ISBLANK(Xbar_R!$D$2), Xbar_R!$F$2-(J125*Formulas!$C$15), Xbar_R!$D$2-(J125*Formulas!$C$15))</f>
        <v>5.7016512611063348</v>
      </c>
      <c r="L125" s="143">
        <f>IF(ISBLANK(Xbar_R!$D$2), NORMDIST(K125, Xbar_R!$F$2, Formulas!$C$15, FALSE), NORMDIST(K125, Xbar_R!$D$2, Formulas!$C$15, FALSE))</f>
        <v>0.27770055084062578</v>
      </c>
      <c r="M125" s="143">
        <f t="shared" si="5"/>
        <v>0.62568897979861593</v>
      </c>
      <c r="N125" s="140">
        <f>+IF(K125&gt;=(Formulas!$D$4), M125, 0)</f>
        <v>0</v>
      </c>
      <c r="O125" s="147">
        <f>+IF(K125&lt;=(Formulas!$D$3), M125, 0)</f>
        <v>0</v>
      </c>
      <c r="P125" s="147">
        <f>NORMDIST(K125,Xbar_R!$I$2,Xbar_R!$K$2/3,FALSE)</f>
        <v>0.54139188472173194</v>
      </c>
      <c r="Q125" s="140">
        <f t="shared" si="6"/>
        <v>1.2175154320564092</v>
      </c>
      <c r="R125" s="135">
        <f t="shared" si="7"/>
        <v>0.79939357602813355</v>
      </c>
    </row>
    <row r="126" spans="10:18" x14ac:dyDescent="0.2">
      <c r="J126" s="142">
        <v>0.68</v>
      </c>
      <c r="K126" s="143">
        <f>IF(ISBLANK(Xbar_R!$D$2), Xbar_R!$F$2-(J126*Formulas!$C$15), Xbar_R!$D$2-(J126*Formulas!$C$15))</f>
        <v>5.7241397965032963</v>
      </c>
      <c r="L126" s="143">
        <f>IF(ISBLANK(Xbar_R!$D$2), NORMDIST(K126, Xbar_R!$F$2, Formulas!$C$15, FALSE), NORMDIST(K126, Xbar_R!$D$2, Formulas!$C$15, FALSE))</f>
        <v>0.28155938314565682</v>
      </c>
      <c r="M126" s="143">
        <f t="shared" si="5"/>
        <v>0.63438334083189485</v>
      </c>
      <c r="N126" s="140">
        <f>+IF(K126&gt;=(Formulas!$D$4), M126, 0)</f>
        <v>0</v>
      </c>
      <c r="O126" s="147">
        <f>+IF(K126&lt;=(Formulas!$D$3), M126, 0)</f>
        <v>0</v>
      </c>
      <c r="P126" s="147">
        <f>NORMDIST(K126,Xbar_R!$I$2,Xbar_R!$K$2/3,FALSE)</f>
        <v>0.5493142298994983</v>
      </c>
      <c r="Q126" s="140">
        <f t="shared" si="6"/>
        <v>1.2353316900835607</v>
      </c>
      <c r="R126" s="135">
        <f t="shared" si="7"/>
        <v>0.79939357602813355</v>
      </c>
    </row>
    <row r="127" spans="10:18" x14ac:dyDescent="0.2">
      <c r="J127" s="142">
        <v>0.66</v>
      </c>
      <c r="K127" s="143">
        <f>IF(ISBLANK(Xbar_R!$D$2), Xbar_R!$F$2-(J127*Formulas!$C$15), Xbar_R!$D$2-(J127*Formulas!$C$15))</f>
        <v>5.7466283319002587</v>
      </c>
      <c r="L127" s="143">
        <f>IF(ISBLANK(Xbar_R!$D$2), NORMDIST(K127, Xbar_R!$F$2, Formulas!$C$15, FALSE), NORMDIST(K127, Xbar_R!$D$2, Formulas!$C$15, FALSE))</f>
        <v>0.28535767057068562</v>
      </c>
      <c r="M127" s="143">
        <f t="shared" si="5"/>
        <v>0.6429412877886227</v>
      </c>
      <c r="N127" s="140">
        <f>+IF(K127&gt;=(Formulas!$D$4), M127, 0)</f>
        <v>0</v>
      </c>
      <c r="O127" s="147">
        <f>+IF(K127&lt;=(Formulas!$D$3), M127, 0)</f>
        <v>0</v>
      </c>
      <c r="P127" s="147">
        <f>NORMDIST(K127,Xbar_R!$I$2,Xbar_R!$K$2/3,FALSE)</f>
        <v>0.55671865322854863</v>
      </c>
      <c r="Q127" s="140">
        <f t="shared" si="6"/>
        <v>1.2519832135418978</v>
      </c>
      <c r="R127" s="135">
        <f t="shared" si="7"/>
        <v>0.79939357602813355</v>
      </c>
    </row>
    <row r="128" spans="10:18" x14ac:dyDescent="0.2">
      <c r="J128" s="142">
        <v>0.64</v>
      </c>
      <c r="K128" s="143">
        <f>IF(ISBLANK(Xbar_R!$D$2), Xbar_R!$F$2-(J128*Formulas!$C$15), Xbar_R!$D$2-(J128*Formulas!$C$15))</f>
        <v>5.7691168672972202</v>
      </c>
      <c r="L128" s="143">
        <f>IF(ISBLANK(Xbar_R!$D$2), NORMDIST(K128, Xbar_R!$F$2, Formulas!$C$15, FALSE), NORMDIST(K128, Xbar_R!$D$2, Formulas!$C$15, FALSE))</f>
        <v>0.28909153784020714</v>
      </c>
      <c r="M128" s="143">
        <f t="shared" si="5"/>
        <v>0.65135408925948168</v>
      </c>
      <c r="N128" s="140">
        <f>+IF(K128&gt;=(Formulas!$D$4), M128, 0)</f>
        <v>0</v>
      </c>
      <c r="O128" s="147">
        <f>+IF(K128&lt;=(Formulas!$D$3), M128, 0)</f>
        <v>0</v>
      </c>
      <c r="P128" s="147">
        <f>NORMDIST(K128,Xbar_R!$I$2,Xbar_R!$K$2/3,FALSE)</f>
        <v>0.56358121849715992</v>
      </c>
      <c r="Q128" s="140">
        <f t="shared" si="6"/>
        <v>1.2674161732034988</v>
      </c>
      <c r="R128" s="135">
        <f t="shared" si="7"/>
        <v>0.79939357602813355</v>
      </c>
    </row>
    <row r="129" spans="10:18" x14ac:dyDescent="0.2">
      <c r="J129" s="142">
        <v>0.62</v>
      </c>
      <c r="K129" s="143">
        <f>IF(ISBLANK(Xbar_R!$D$2), Xbar_R!$F$2-(J129*Formulas!$C$15), Xbar_R!$D$2-(J129*Formulas!$C$15))</f>
        <v>5.7916054026941826</v>
      </c>
      <c r="L129" s="143">
        <f>IF(ISBLANK(Xbar_R!$D$2), NORMDIST(K129, Xbar_R!$F$2, Formulas!$C$15, FALSE), NORMDIST(K129, Xbar_R!$D$2, Formulas!$C$15, FALSE))</f>
        <v>0.29275713598959974</v>
      </c>
      <c r="M129" s="143">
        <f t="shared" si="5"/>
        <v>0.6596130731163824</v>
      </c>
      <c r="N129" s="140">
        <f>+IF(K129&gt;=(Formulas!$D$4), M129, 0)</f>
        <v>0</v>
      </c>
      <c r="O129" s="147">
        <f>+IF(K129&lt;=(Formulas!$D$3), M129, 0)</f>
        <v>0</v>
      </c>
      <c r="P129" s="147">
        <f>NORMDIST(K129,Xbar_R!$I$2,Xbar_R!$K$2/3,FALSE)</f>
        <v>0.56987954114823103</v>
      </c>
      <c r="Q129" s="140">
        <f t="shared" si="6"/>
        <v>1.2815802292969714</v>
      </c>
      <c r="R129" s="135">
        <f t="shared" si="7"/>
        <v>0.79939357602813355</v>
      </c>
    </row>
    <row r="130" spans="10:18" x14ac:dyDescent="0.2">
      <c r="J130" s="142">
        <v>0.6</v>
      </c>
      <c r="K130" s="143">
        <f>IF(ISBLANK(Xbar_R!$D$2), Xbar_R!$F$2-(J130*Formulas!$C$15), Xbar_R!$D$2-(J130*Formulas!$C$15))</f>
        <v>5.8140939380911441</v>
      </c>
      <c r="L130" s="143">
        <f>IF(ISBLANK(Xbar_R!$D$2), NORMDIST(K130, Xbar_R!$F$2, Formulas!$C$15, FALSE), NORMDIST(K130, Xbar_R!$D$2, Formulas!$C$15, FALSE))</f>
        <v>0.29635064890603507</v>
      </c>
      <c r="M130" s="143">
        <f t="shared" si="5"/>
        <v>0.66770964124983179</v>
      </c>
      <c r="N130" s="140">
        <f>+IF(K130&gt;=(Formulas!$D$4), M130, 0)</f>
        <v>0</v>
      </c>
      <c r="O130" s="147">
        <f>+IF(K130&lt;=(Formulas!$D$3), M130, 0)</f>
        <v>0</v>
      </c>
      <c r="P130" s="147">
        <f>NORMDIST(K130,Xbar_R!$I$2,Xbar_R!$K$2/3,FALSE)</f>
        <v>0.57559290982367595</v>
      </c>
      <c r="Q130" s="140">
        <f t="shared" si="6"/>
        <v>1.2944288048439749</v>
      </c>
      <c r="R130" s="135">
        <f t="shared" si="7"/>
        <v>0.79939357602813355</v>
      </c>
    </row>
    <row r="131" spans="10:18" x14ac:dyDescent="0.2">
      <c r="J131" s="142">
        <v>0.57999999999999996</v>
      </c>
      <c r="K131" s="143">
        <f>IF(ISBLANK(Xbar_R!$D$2), Xbar_R!$F$2-(J131*Formulas!$C$15), Xbar_R!$D$2-(J131*Formulas!$C$15))</f>
        <v>5.8365824734881055</v>
      </c>
      <c r="L131" s="143">
        <f>IF(ISBLANK(Xbar_R!$D$2), NORMDIST(K131, Xbar_R!$F$2, Formulas!$C$15, FALSE), NORMDIST(K131, Xbar_R!$D$2, Formulas!$C$15, FALSE))</f>
        <v>0.29986829988753488</v>
      </c>
      <c r="M131" s="143">
        <f t="shared" si="5"/>
        <v>0.67563528434718867</v>
      </c>
      <c r="N131" s="140">
        <f>+IF(K131&gt;=(Formulas!$D$4), M131, 0)</f>
        <v>0</v>
      </c>
      <c r="O131" s="147">
        <f>+IF(K131&lt;=(Formulas!$D$3), M131, 0)</f>
        <v>0</v>
      </c>
      <c r="P131" s="147">
        <f>NORMDIST(K131,Xbar_R!$I$2,Xbar_R!$K$2/3,FALSE)</f>
        <v>0.58070239977090798</v>
      </c>
      <c r="Q131" s="140">
        <f t="shared" si="6"/>
        <v>1.3059193406947101</v>
      </c>
      <c r="R131" s="135">
        <f t="shared" si="7"/>
        <v>0.79939357602813355</v>
      </c>
    </row>
    <row r="132" spans="10:18" x14ac:dyDescent="0.2">
      <c r="J132" s="142">
        <v>0.56000000000000005</v>
      </c>
      <c r="K132" s="143">
        <f>IF(ISBLANK(Xbar_R!$D$2), Xbar_R!$F$2-(J132*Formulas!$C$15), Xbar_R!$D$2-(J132*Formulas!$C$15))</f>
        <v>5.8590710088850679</v>
      </c>
      <c r="L132" s="143">
        <f>IF(ISBLANK(Xbar_R!$D$2), NORMDIST(K132, Xbar_R!$F$2, Formulas!$C$15, FALSE), NORMDIST(K132, Xbar_R!$D$2, Formulas!$C$15, FALSE))</f>
        <v>0.30330635820456903</v>
      </c>
      <c r="M132" s="143">
        <f t="shared" ref="M132:M195" si="8">100*(L132/$L$317)</f>
        <v>0.683381596676644</v>
      </c>
      <c r="N132" s="140">
        <f>+IF(K132&gt;=(Formulas!$D$4), M132, 0)</f>
        <v>0</v>
      </c>
      <c r="O132" s="147">
        <f>+IF(K132&lt;=(Formulas!$D$3), M132, 0)</f>
        <v>0</v>
      </c>
      <c r="P132" s="147">
        <f>NORMDIST(K132,Xbar_R!$I$2,Xbar_R!$K$2/3,FALSE)</f>
        <v>0.5851909772428886</v>
      </c>
      <c r="Q132" s="140">
        <f t="shared" si="6"/>
        <v>1.3160135303091816</v>
      </c>
      <c r="R132" s="135">
        <f t="shared" si="7"/>
        <v>0.79939357602813355</v>
      </c>
    </row>
    <row r="133" spans="10:18" x14ac:dyDescent="0.2">
      <c r="J133" s="142">
        <v>0.54</v>
      </c>
      <c r="K133" s="143">
        <f>IF(ISBLANK(Xbar_R!$D$2), Xbar_R!$F$2-(J133*Formulas!$C$15), Xbar_R!$D$2-(J133*Formulas!$C$15))</f>
        <v>5.8815595442820294</v>
      </c>
      <c r="L133" s="143">
        <f>IF(ISBLANK(Xbar_R!$D$2), NORMDIST(K133, Xbar_R!$F$2, Formulas!$C$15, FALSE), NORMDIST(K133, Xbar_R!$D$2, Formulas!$C$15, FALSE))</f>
        <v>0.30666114564838842</v>
      </c>
      <c r="M133" s="143">
        <f t="shared" si="8"/>
        <v>0.69094029084131348</v>
      </c>
      <c r="N133" s="140">
        <f>+IF(K133&gt;=(Formulas!$D$4), M133, 0)</f>
        <v>0</v>
      </c>
      <c r="O133" s="147">
        <f>+IF(K133&lt;=(Formulas!$D$3), M133, 0)</f>
        <v>0</v>
      </c>
      <c r="P133" s="147">
        <f>NORMDIST(K133,Xbar_R!$I$2,Xbar_R!$K$2/3,FALSE)</f>
        <v>0.58904359408603202</v>
      </c>
      <c r="Q133" s="140">
        <f t="shared" ref="Q133:Q196" si="9">100*(P133/$P$317)</f>
        <v>1.3246775324723068</v>
      </c>
      <c r="R133" s="135">
        <f t="shared" si="7"/>
        <v>0.79939357602813355</v>
      </c>
    </row>
    <row r="134" spans="10:18" x14ac:dyDescent="0.2">
      <c r="J134" s="142">
        <v>0.52</v>
      </c>
      <c r="K134" s="143">
        <f>IF(ISBLANK(Xbar_R!$D$2), Xbar_R!$F$2-(J134*Formulas!$C$15), Xbar_R!$D$2-(J134*Formulas!$C$15))</f>
        <v>5.9040480796789918</v>
      </c>
      <c r="L134" s="143">
        <f>IF(ISBLANK(Xbar_R!$D$2), NORMDIST(K134, Xbar_R!$F$2, Formulas!$C$15, FALSE), NORMDIST(K134, Xbar_R!$D$2, Formulas!$C$15, FALSE))</f>
        <v>0.3099290430501353</v>
      </c>
      <c r="M134" s="143">
        <f t="shared" si="8"/>
        <v>0.69830321246748994</v>
      </c>
      <c r="N134" s="140">
        <f>+IF(K134&gt;=(Formulas!$D$4), M134, 0)</f>
        <v>0</v>
      </c>
      <c r="O134" s="147">
        <f>+IF(K134&lt;=(Formulas!$D$3), M134, 0)</f>
        <v>0</v>
      </c>
      <c r="P134" s="147">
        <f>NORMDIST(K134,Xbar_R!$I$2,Xbar_R!$K$2/3,FALSE)</f>
        <v>0.59224727178106396</v>
      </c>
      <c r="Q134" s="140">
        <f t="shared" si="9"/>
        <v>1.3318821602901787</v>
      </c>
      <c r="R134" s="135">
        <f t="shared" ref="R134:R197" si="10">+$R$4</f>
        <v>0.79939357602813355</v>
      </c>
    </row>
    <row r="135" spans="10:18" x14ac:dyDescent="0.2">
      <c r="J135" s="142">
        <v>0.5</v>
      </c>
      <c r="K135" s="143">
        <f>IF(ISBLANK(Xbar_R!$D$2), Xbar_R!$F$2-(J135*Formulas!$C$15), Xbar_R!$D$2-(J135*Formulas!$C$15))</f>
        <v>5.9265366150759533</v>
      </c>
      <c r="L135" s="143">
        <f>IF(ISBLANK(Xbar_R!$D$2), NORMDIST(K135, Xbar_R!$F$2, Formulas!$C$15, FALSE), NORMDIST(K135, Xbar_R!$D$2, Formulas!$C$15, FALSE))</f>
        <v>0.3131064967546639</v>
      </c>
      <c r="M135" s="143">
        <f t="shared" si="8"/>
        <v>0.70546235479085107</v>
      </c>
      <c r="N135" s="140">
        <f>+IF(K135&gt;=(Formulas!$D$4), M135, 0)</f>
        <v>0</v>
      </c>
      <c r="O135" s="147">
        <f>+IF(K135&lt;=(Formulas!$D$3), M135, 0)</f>
        <v>0</v>
      </c>
      <c r="P135" s="147">
        <f>NORMDIST(K135,Xbar_R!$I$2,Xbar_R!$K$2/3,FALSE)</f>
        <v>0.59479117428007022</v>
      </c>
      <c r="Q135" s="140">
        <f t="shared" si="9"/>
        <v>1.3376030449905079</v>
      </c>
      <c r="R135" s="135">
        <f t="shared" si="10"/>
        <v>0.79939357602813355</v>
      </c>
    </row>
    <row r="136" spans="10:18" x14ac:dyDescent="0.2">
      <c r="J136" s="142">
        <v>0.48</v>
      </c>
      <c r="K136" s="143">
        <f>IF(ISBLANK(Xbar_R!$D$2), Xbar_R!$F$2-(J136*Formulas!$C$15), Xbar_R!$D$2-(J136*Formulas!$C$15))</f>
        <v>5.9490251504729157</v>
      </c>
      <c r="L136" s="143">
        <f>IF(ISBLANK(Xbar_R!$D$2), NORMDIST(K136, Xbar_R!$F$2, Formulas!$C$15, FALSE), NORMDIST(K136, Xbar_R!$D$2, Formulas!$C$15, FALSE))</f>
        <v>0.31619002503295818</v>
      </c>
      <c r="M136" s="143">
        <f t="shared" si="8"/>
        <v>0.71240987310432169</v>
      </c>
      <c r="N136" s="140">
        <f>+IF(K136&gt;=(Formulas!$D$4), M136, 0)</f>
        <v>0</v>
      </c>
      <c r="O136" s="147">
        <f>+IF(K136&lt;=(Formulas!$D$3), M136, 0)</f>
        <v>0</v>
      </c>
      <c r="P136" s="147">
        <f>NORMDIST(K136,Xbar_R!$I$2,Xbar_R!$K$2/3,FALSE)</f>
        <v>0.59666666906770727</v>
      </c>
      <c r="Q136" s="140">
        <f t="shared" si="9"/>
        <v>1.3418207732408365</v>
      </c>
      <c r="R136" s="135">
        <f t="shared" si="10"/>
        <v>0.79939357602813355</v>
      </c>
    </row>
    <row r="137" spans="10:18" x14ac:dyDescent="0.2">
      <c r="J137" s="142">
        <v>0.46</v>
      </c>
      <c r="K137" s="143">
        <f>IF(ISBLANK(Xbar_R!$D$2), Xbar_R!$F$2-(J137*Formulas!$C$15), Xbar_R!$D$2-(J137*Formulas!$C$15))</f>
        <v>5.9715136858698772</v>
      </c>
      <c r="L137" s="143">
        <f>IF(ISBLANK(Xbar_R!$D$2), NORMDIST(K137, Xbar_R!$F$2, Formulas!$C$15, FALSE), NORMDIST(K137, Xbar_R!$D$2, Formulas!$C$15, FALSE))</f>
        <v>0.31917622441702392</v>
      </c>
      <c r="M137" s="143">
        <f t="shared" si="8"/>
        <v>0.71913809903126147</v>
      </c>
      <c r="N137" s="140">
        <f>+IF(K137&gt;=(Formulas!$D$4), M137, 0)</f>
        <v>0</v>
      </c>
      <c r="O137" s="147">
        <f>+IF(K137&lt;=(Formulas!$D$3), M137, 0)</f>
        <v>0</v>
      </c>
      <c r="P137" s="147">
        <f>NORMDIST(K137,Xbar_R!$I$2,Xbar_R!$K$2/3,FALSE)</f>
        <v>0.5978673759650599</v>
      </c>
      <c r="Q137" s="140">
        <f t="shared" si="9"/>
        <v>1.3445209969016598</v>
      </c>
      <c r="R137" s="135">
        <f t="shared" si="10"/>
        <v>0.79939357602813355</v>
      </c>
    </row>
    <row r="138" spans="10:18" x14ac:dyDescent="0.2">
      <c r="J138" s="142">
        <v>0.44</v>
      </c>
      <c r="K138" s="143">
        <f>IF(ISBLANK(Xbar_R!$D$2), Xbar_R!$F$2-(J138*Formulas!$C$15), Xbar_R!$D$2-(J138*Formulas!$C$15))</f>
        <v>5.9940022212668387</v>
      </c>
      <c r="L138" s="143">
        <f>IF(ISBLANK(Xbar_R!$D$2), NORMDIST(K138, Xbar_R!$F$2, Formulas!$C$15, FALSE), NORMDIST(K138, Xbar_R!$D$2, Formulas!$C$15, FALSE))</f>
        <v>0.3220617759411894</v>
      </c>
      <c r="M138" s="143">
        <f t="shared" si="8"/>
        <v>0.72563955458778151</v>
      </c>
      <c r="N138" s="140">
        <f>+IF(K138&gt;=(Formulas!$D$4), M138, 0)</f>
        <v>0</v>
      </c>
      <c r="O138" s="147">
        <f>+IF(K138&lt;=(Formulas!$D$3), M138, 0)</f>
        <v>0</v>
      </c>
      <c r="P138" s="147">
        <f>NORMDIST(K138,Xbar_R!$I$2,Xbar_R!$K$2/3,FALSE)</f>
        <v>0.59838920329001832</v>
      </c>
      <c r="Q138" s="140">
        <f t="shared" si="9"/>
        <v>1.3456945143461119</v>
      </c>
      <c r="R138" s="135">
        <f t="shared" si="10"/>
        <v>0.79939357602813355</v>
      </c>
    </row>
    <row r="139" spans="10:18" x14ac:dyDescent="0.2">
      <c r="J139" s="142">
        <v>0.42</v>
      </c>
      <c r="K139" s="143">
        <f>IF(ISBLANK(Xbar_R!$D$2), Xbar_R!$F$2-(J139*Formulas!$C$15), Xbar_R!$D$2-(J139*Formulas!$C$15))</f>
        <v>6.0164907566638011</v>
      </c>
      <c r="L139" s="143">
        <f>IF(ISBLANK(Xbar_R!$D$2), NORMDIST(K139, Xbar_R!$F$2, Formulas!$C$15, FALSE), NORMDIST(K139, Xbar_R!$D$2, Formulas!$C$15, FALSE))</f>
        <v>0.3248434512738429</v>
      </c>
      <c r="M139" s="143">
        <f t="shared" si="8"/>
        <v>0.73190696599820315</v>
      </c>
      <c r="N139" s="140">
        <f>+IF(K139&gt;=(Formulas!$D$4), M139, 0)</f>
        <v>0</v>
      </c>
      <c r="O139" s="147">
        <f>+IF(K139&lt;=(Formulas!$D$3), M139, 0)</f>
        <v>0</v>
      </c>
      <c r="P139" s="147">
        <f>NORMDIST(K139,Xbar_R!$I$2,Xbar_R!$K$2/3,FALSE)</f>
        <v>0.59823037108736243</v>
      </c>
      <c r="Q139" s="140">
        <f t="shared" si="9"/>
        <v>1.3453373227012084</v>
      </c>
      <c r="R139" s="135">
        <f t="shared" si="10"/>
        <v>0.79939357602813355</v>
      </c>
    </row>
    <row r="140" spans="10:18" x14ac:dyDescent="0.2">
      <c r="J140" s="142">
        <v>0.4</v>
      </c>
      <c r="K140" s="143">
        <f>IF(ISBLANK(Xbar_R!$D$2), Xbar_R!$F$2-(J140*Formulas!$C$15), Xbar_R!$D$2-(J140*Formulas!$C$15))</f>
        <v>6.0389792920607626</v>
      </c>
      <c r="L140" s="143">
        <f>IF(ISBLANK(Xbar_R!$D$2), NORMDIST(K140, Xbar_R!$F$2, Formulas!$C$15, FALSE), NORMDIST(K140, Xbar_R!$D$2, Formulas!$C$15, FALSE))</f>
        <v>0.32751811872379666</v>
      </c>
      <c r="M140" s="143">
        <f t="shared" si="8"/>
        <v>0.73793327722803781</v>
      </c>
      <c r="N140" s="140">
        <f>+IF(K140&gt;=(Formulas!$D$4), M140, 0)</f>
        <v>0</v>
      </c>
      <c r="O140" s="147">
        <f>+IF(K140&lt;=(Formulas!$D$3), M140, 0)</f>
        <v>0</v>
      </c>
      <c r="P140" s="147">
        <f>NORMDIST(K140,Xbar_R!$I$2,Xbar_R!$K$2/3,FALSE)</f>
        <v>0.59739142124398503</v>
      </c>
      <c r="Q140" s="140">
        <f t="shared" si="9"/>
        <v>1.3434506405955866</v>
      </c>
      <c r="R140" s="135">
        <f t="shared" si="10"/>
        <v>0.79939357602813355</v>
      </c>
    </row>
    <row r="141" spans="10:18" x14ac:dyDescent="0.2">
      <c r="J141" s="142">
        <v>0.38</v>
      </c>
      <c r="K141" s="143">
        <f>IF(ISBLANK(Xbar_R!$D$2), Xbar_R!$F$2-(J141*Formulas!$C$15), Xbar_R!$D$2-(J141*Formulas!$C$15))</f>
        <v>6.0614678274577249</v>
      </c>
      <c r="L141" s="143">
        <f>IF(ISBLANK(Xbar_R!$D$2), NORMDIST(K141, Xbar_R!$F$2, Formulas!$C$15, FALSE), NORMDIST(K141, Xbar_R!$D$2, Formulas!$C$15, FALSE))</f>
        <v>0.33008274910566882</v>
      </c>
      <c r="M141" s="143">
        <f t="shared" si="8"/>
        <v>0.74371166319931759</v>
      </c>
      <c r="N141" s="140">
        <f>+IF(K141&gt;=(Formulas!$D$4), M141, 0)</f>
        <v>0</v>
      </c>
      <c r="O141" s="147">
        <f>+IF(K141&lt;=(Formulas!$D$3), M141, 0)</f>
        <v>0</v>
      </c>
      <c r="P141" s="147">
        <f>NORMDIST(K141,Xbar_R!$I$2,Xbar_R!$K$2/3,FALSE)</f>
        <v>0.59587521440880586</v>
      </c>
      <c r="Q141" s="140">
        <f t="shared" si="9"/>
        <v>1.3400409012328165</v>
      </c>
      <c r="R141" s="135">
        <f t="shared" si="10"/>
        <v>0.79939357602813355</v>
      </c>
    </row>
    <row r="142" spans="10:18" x14ac:dyDescent="0.2">
      <c r="J142" s="142">
        <v>0.36</v>
      </c>
      <c r="K142" s="143">
        <f>IF(ISBLANK(Xbar_R!$D$2), Xbar_R!$F$2-(J142*Formulas!$C$15), Xbar_R!$D$2-(J142*Formulas!$C$15))</f>
        <v>6.0839563628546864</v>
      </c>
      <c r="L142" s="143">
        <f>IF(ISBLANK(Xbar_R!$D$2), NORMDIST(K142, Xbar_R!$F$2, Formulas!$C$15, FALSE), NORMDIST(K142, Xbar_R!$D$2, Formulas!$C$15, FALSE))</f>
        <v>0.33253442144893286</v>
      </c>
      <c r="M142" s="143">
        <f t="shared" si="8"/>
        <v>0.7492355426536933</v>
      </c>
      <c r="N142" s="140">
        <f>+IF(K142&gt;=(Formulas!$D$4), M142, 0)</f>
        <v>0</v>
      </c>
      <c r="O142" s="147">
        <f>+IF(K142&lt;=(Formulas!$D$3), M142, 0)</f>
        <v>0</v>
      </c>
      <c r="P142" s="147">
        <f>NORMDIST(K142,Xbar_R!$I$2,Xbar_R!$K$2/3,FALSE)</f>
        <v>0.59368691374187799</v>
      </c>
      <c r="Q142" s="140">
        <f t="shared" si="9"/>
        <v>1.3351197158453898</v>
      </c>
      <c r="R142" s="135">
        <f t="shared" si="10"/>
        <v>0.79939357602813355</v>
      </c>
    </row>
    <row r="143" spans="10:18" x14ac:dyDescent="0.2">
      <c r="J143" s="142">
        <v>0.34</v>
      </c>
      <c r="K143" s="143">
        <f>IF(ISBLANK(Xbar_R!$D$2), Xbar_R!$F$2-(J143*Formulas!$C$15), Xbar_R!$D$2-(J143*Formulas!$C$15))</f>
        <v>6.1064448982516488</v>
      </c>
      <c r="L143" s="143">
        <f>IF(ISBLANK(Xbar_R!$D$2), NORMDIST(K143, Xbar_R!$F$2, Formulas!$C$15, FALSE), NORMDIST(K143, Xbar_R!$D$2, Formulas!$C$15, FALSE))</f>
        <v>0.33487032853559928</v>
      </c>
      <c r="M143" s="143">
        <f t="shared" si="8"/>
        <v>0.75449859062942271</v>
      </c>
      <c r="N143" s="140">
        <f>+IF(K143&gt;=(Formulas!$D$4), M143, 0)</f>
        <v>0</v>
      </c>
      <c r="O143" s="147">
        <f>+IF(K143&lt;=(Formulas!$D$3), M143, 0)</f>
        <v>0</v>
      </c>
      <c r="P143" s="147">
        <f>NORMDIST(K143,Xbar_R!$I$2,Xbar_R!$K$2/3,FALSE)</f>
        <v>0.59083395562188368</v>
      </c>
      <c r="Q143" s="140">
        <f t="shared" si="9"/>
        <v>1.3287038078199322</v>
      </c>
      <c r="R143" s="135">
        <f t="shared" si="10"/>
        <v>0.79939357602813355</v>
      </c>
    </row>
    <row r="144" spans="10:18" x14ac:dyDescent="0.2">
      <c r="J144" s="142">
        <v>0.32</v>
      </c>
      <c r="K144" s="143">
        <f>IF(ISBLANK(Xbar_R!$D$2), Xbar_R!$F$2-(J144*Formulas!$C$15), Xbar_R!$D$2-(J144*Formulas!$C$15))</f>
        <v>6.1289334336486103</v>
      </c>
      <c r="L144" s="143">
        <f>IF(ISBLANK(Xbar_R!$D$2), NORMDIST(K144, Xbar_R!$F$2, Formulas!$C$15, FALSE), NORMDIST(K144, Xbar_R!$D$2, Formulas!$C$15, FALSE))</f>
        <v>0.33708778225184671</v>
      </c>
      <c r="M144" s="143">
        <f t="shared" si="8"/>
        <v>0.75949475051916582</v>
      </c>
      <c r="N144" s="140">
        <f>+IF(K144&gt;=(Formulas!$D$4), M144, 0)</f>
        <v>0</v>
      </c>
      <c r="O144" s="147">
        <f>+IF(K144&lt;=(Formulas!$D$3), M144, 0)</f>
        <v>0</v>
      </c>
      <c r="P144" s="147">
        <f>NORMDIST(K144,Xbar_R!$I$2,Xbar_R!$K$2/3,FALSE)</f>
        <v>0.58732600754459408</v>
      </c>
      <c r="Q144" s="140">
        <f t="shared" si="9"/>
        <v>1.3208149180166653</v>
      </c>
      <c r="R144" s="135">
        <f t="shared" si="10"/>
        <v>0.79939357602813355</v>
      </c>
    </row>
    <row r="145" spans="10:18" x14ac:dyDescent="0.2">
      <c r="J145" s="142">
        <v>0.3</v>
      </c>
      <c r="K145" s="143">
        <f>IF(ISBLANK(Xbar_R!$D$2), Xbar_R!$F$2-(J145*Formulas!$C$15), Xbar_R!$D$2-(J145*Formulas!$C$15))</f>
        <v>6.1514219690455718</v>
      </c>
      <c r="L145" s="143">
        <f>IF(ISBLANK(Xbar_R!$D$2), NORMDIST(K145, Xbar_R!$F$2, Formulas!$C$15, FALSE), NORMDIST(K145, Xbar_R!$D$2, Formulas!$C$15, FALSE))</f>
        <v>0.33918421873933879</v>
      </c>
      <c r="M145" s="143">
        <f t="shared" si="8"/>
        <v>0.76421824567645236</v>
      </c>
      <c r="N145" s="140">
        <f>+IF(K145&gt;=(Formulas!$D$4), M145, 0)</f>
        <v>0</v>
      </c>
      <c r="O145" s="147">
        <f>+IF(K145&lt;=(Formulas!$D$3), M145, 0)</f>
        <v>0</v>
      </c>
      <c r="P145" s="147">
        <f>NORMDIST(K145,Xbar_R!$I$2,Xbar_R!$K$2/3,FALSE)</f>
        <v>0.58317491354586748</v>
      </c>
      <c r="Q145" s="140">
        <f t="shared" si="9"/>
        <v>1.3114796820332812</v>
      </c>
      <c r="R145" s="135">
        <f t="shared" si="10"/>
        <v>0.79939357602813355</v>
      </c>
    </row>
    <row r="146" spans="10:18" x14ac:dyDescent="0.2">
      <c r="J146" s="142">
        <v>0.28000000000000003</v>
      </c>
      <c r="K146" s="143">
        <f>IF(ISBLANK(Xbar_R!$D$2), Xbar_R!$F$2-(J146*Formulas!$C$15), Xbar_R!$D$2-(J146*Formulas!$C$15))</f>
        <v>6.1739105044425342</v>
      </c>
      <c r="L146" s="143">
        <f>IF(ISBLANK(Xbar_R!$D$2), NORMDIST(K146, Xbar_R!$F$2, Formulas!$C$15, FALSE), NORMDIST(K146, Xbar_R!$D$2, Formulas!$C$15, FALSE))</f>
        <v>0.3411572033324165</v>
      </c>
      <c r="M146" s="143">
        <f t="shared" si="8"/>
        <v>0.76866359053970268</v>
      </c>
      <c r="N146" s="140">
        <f>+IF(K146&gt;=(Formulas!$D$4), M146, 0)</f>
        <v>0</v>
      </c>
      <c r="O146" s="147">
        <f>+IF(K146&lt;=(Formulas!$D$3), M146, 0)</f>
        <v>0</v>
      </c>
      <c r="P146" s="147">
        <f>NORMDIST(K146,Xbar_R!$I$2,Xbar_R!$K$2/3,FALSE)</f>
        <v>0.57839462758037219</v>
      </c>
      <c r="Q146" s="140">
        <f t="shared" si="9"/>
        <v>1.3007294803829101</v>
      </c>
      <c r="R146" s="135">
        <f t="shared" si="10"/>
        <v>0.79939357602813355</v>
      </c>
    </row>
    <row r="147" spans="10:18" x14ac:dyDescent="0.2">
      <c r="J147" s="142">
        <v>0.26</v>
      </c>
      <c r="K147" s="143">
        <f>IF(ISBLANK(Xbar_R!$D$2), Xbar_R!$F$2-(J147*Formulas!$C$15), Xbar_R!$D$2-(J147*Formulas!$C$15))</f>
        <v>6.1963990398394957</v>
      </c>
      <c r="L147" s="143">
        <f>IF(ISBLANK(Xbar_R!$D$2), NORMDIST(K147, Xbar_R!$F$2, Formulas!$C$15, FALSE), NORMDIST(K147, Xbar_R!$D$2, Formulas!$C$15, FALSE))</f>
        <v>0.34300443526786584</v>
      </c>
      <c r="M147" s="143">
        <f t="shared" si="8"/>
        <v>0.77282560124383715</v>
      </c>
      <c r="N147" s="140">
        <f>+IF(K147&gt;=(Formulas!$D$4), M147, 0)</f>
        <v>0</v>
      </c>
      <c r="O147" s="147">
        <f>+IF(K147&lt;=(Formulas!$D$3), M147, 0)</f>
        <v>0</v>
      </c>
      <c r="P147" s="147">
        <f>NORMDIST(K147,Xbar_R!$I$2,Xbar_R!$K$2/3,FALSE)</f>
        <v>0.57300113538044317</v>
      </c>
      <c r="Q147" s="140">
        <f t="shared" si="9"/>
        <v>1.2886002627655004</v>
      </c>
      <c r="R147" s="135">
        <f t="shared" si="10"/>
        <v>0.79939357602813355</v>
      </c>
    </row>
    <row r="148" spans="10:18" x14ac:dyDescent="0.2">
      <c r="J148" s="142">
        <v>0.24</v>
      </c>
      <c r="K148" s="143">
        <f>IF(ISBLANK(Xbar_R!$D$2), Xbar_R!$F$2-(J148*Formulas!$C$15), Xbar_R!$D$2-(J148*Formulas!$C$15))</f>
        <v>6.2188875752364581</v>
      </c>
      <c r="L148" s="143">
        <f>IF(ISBLANK(Xbar_R!$D$2), NORMDIST(K148, Xbar_R!$F$2, Formulas!$C$15, FALSE), NORMDIST(K148, Xbar_R!$D$2, Formulas!$C$15, FALSE))</f>
        <v>0.34472375215451312</v>
      </c>
      <c r="M148" s="143">
        <f t="shared" si="8"/>
        <v>0.77669940569075113</v>
      </c>
      <c r="N148" s="140">
        <f>+IF(K148&gt;=(Formulas!$D$4), M148, 0)</f>
        <v>0</v>
      </c>
      <c r="O148" s="147">
        <f>+IF(K148&lt;=(Formulas!$D$3), M148, 0)</f>
        <v>0</v>
      </c>
      <c r="P148" s="147">
        <f>NORMDIST(K148,Xbar_R!$I$2,Xbar_R!$K$2/3,FALSE)</f>
        <v>0.56701236540740585</v>
      </c>
      <c r="Q148" s="140">
        <f t="shared" si="9"/>
        <v>1.2751323478096701</v>
      </c>
      <c r="R148" s="135">
        <f t="shared" si="10"/>
        <v>0.79939357602813355</v>
      </c>
    </row>
    <row r="149" spans="10:18" x14ac:dyDescent="0.2">
      <c r="J149" s="142">
        <v>0.22</v>
      </c>
      <c r="K149" s="143">
        <f>IF(ISBLANK(Xbar_R!$D$2), Xbar_R!$F$2-(J149*Formulas!$C$15), Xbar_R!$D$2-(J149*Formulas!$C$15))</f>
        <v>6.2413761106334196</v>
      </c>
      <c r="L149" s="143">
        <f>IF(ISBLANK(Xbar_R!$D$2), NORMDIST(K149, Xbar_R!$F$2, Formulas!$C$15, FALSE), NORMDIST(K149, Xbar_R!$D$2, Formulas!$C$15, FALSE))</f>
        <v>0.34631313419049731</v>
      </c>
      <c r="M149" s="143">
        <f t="shared" si="8"/>
        <v>0.78028045305127991</v>
      </c>
      <c r="N149" s="140">
        <f>+IF(K149&gt;=(Formulas!$D$4), M149, 0)</f>
        <v>0</v>
      </c>
      <c r="O149" s="147">
        <f>+IF(K149&lt;=(Formulas!$D$3), M149, 0)</f>
        <v>0</v>
      </c>
      <c r="P149" s="147">
        <f>NORMDIST(K149,Xbar_R!$I$2,Xbar_R!$K$2/3,FALSE)</f>
        <v>0.56044808958946279</v>
      </c>
      <c r="Q149" s="140">
        <f t="shared" si="9"/>
        <v>1.2603701998459484</v>
      </c>
      <c r="R149" s="135">
        <f t="shared" si="10"/>
        <v>0.79939357602813355</v>
      </c>
    </row>
    <row r="150" spans="10:18" x14ac:dyDescent="0.2">
      <c r="J150" s="142">
        <v>0.2</v>
      </c>
      <c r="K150" s="143">
        <f>IF(ISBLANK(Xbar_R!$D$2), Xbar_R!$F$2-(J150*Formulas!$C$15), Xbar_R!$D$2-(J150*Formulas!$C$15))</f>
        <v>6.263864646030382</v>
      </c>
      <c r="L150" s="143">
        <f>IF(ISBLANK(Xbar_R!$D$2), NORMDIST(K150, Xbar_R!$F$2, Formulas!$C$15, FALSE), NORMDIST(K150, Xbar_R!$D$2, Formulas!$C$15, FALSE))</f>
        <v>0.34777070811670946</v>
      </c>
      <c r="M150" s="143">
        <f t="shared" si="8"/>
        <v>0.78356452267271948</v>
      </c>
      <c r="N150" s="140">
        <f>+IF(K150&gt;=(Formulas!$D$4), M150, 0)</f>
        <v>0</v>
      </c>
      <c r="O150" s="147">
        <f>+IF(K150&lt;=(Formulas!$D$3), M150, 0)</f>
        <v>0</v>
      </c>
      <c r="P150" s="147">
        <f>NORMDIST(K150,Xbar_R!$I$2,Xbar_R!$K$2/3,FALSE)</f>
        <v>0.55332981461503095</v>
      </c>
      <c r="Q150" s="140">
        <f t="shared" si="9"/>
        <v>1.2443621844405344</v>
      </c>
      <c r="R150" s="135">
        <f t="shared" si="10"/>
        <v>0.79939357602813355</v>
      </c>
    </row>
    <row r="151" spans="10:18" x14ac:dyDescent="0.2">
      <c r="J151" s="142">
        <v>0.18</v>
      </c>
      <c r="K151" s="143">
        <f>IF(ISBLANK(Xbar_R!$D$2), Xbar_R!$F$2-(J151*Formulas!$C$15), Xbar_R!$D$2-(J151*Formulas!$C$15))</f>
        <v>6.2863531814273435</v>
      </c>
      <c r="L151" s="143">
        <f>IF(ISBLANK(Xbar_R!$D$2), NORMDIST(K151, Xbar_R!$F$2, Formulas!$C$15, FALSE), NORMDIST(K151, Xbar_R!$D$2, Formulas!$C$15, FALSE))</f>
        <v>0.3490947508955683</v>
      </c>
      <c r="M151" s="143">
        <f t="shared" si="8"/>
        <v>0.78654773236750097</v>
      </c>
      <c r="N151" s="140">
        <f>+IF(K151&gt;=(Formulas!$D$4), M151, 0)</f>
        <v>0</v>
      </c>
      <c r="O151" s="147">
        <f>+IF(K151&lt;=(Formulas!$D$3), M151, 0)</f>
        <v>0</v>
      </c>
      <c r="P151" s="147">
        <f>NORMDIST(K151,Xbar_R!$I$2,Xbar_R!$K$2/3,FALSE)</f>
        <v>0.54568066461758624</v>
      </c>
      <c r="Q151" s="140">
        <f t="shared" si="9"/>
        <v>1.2271603045697455</v>
      </c>
      <c r="R151" s="135">
        <f t="shared" si="10"/>
        <v>0.79939357602813355</v>
      </c>
    </row>
    <row r="152" spans="10:18" x14ac:dyDescent="0.2">
      <c r="J152" s="142">
        <v>0.16</v>
      </c>
      <c r="K152" s="143">
        <f>IF(ISBLANK(Xbar_R!$D$2), Xbar_R!$F$2-(J152*Formulas!$C$15), Xbar_R!$D$2-(J152*Formulas!$C$15))</f>
        <v>6.3088417168243058</v>
      </c>
      <c r="L152" s="143">
        <f>IF(ISBLANK(Xbar_R!$D$2), NORMDIST(K152, Xbar_R!$F$2, Formulas!$C$15, FALSE), NORMDIST(K152, Xbar_R!$D$2, Formulas!$C$15, FALSE))</f>
        <v>0.35028369310502189</v>
      </c>
      <c r="M152" s="143">
        <f t="shared" si="8"/>
        <v>0.78922654606023812</v>
      </c>
      <c r="N152" s="140">
        <f>+IF(K152&gt;=(Formulas!$D$4), M152, 0)</f>
        <v>0</v>
      </c>
      <c r="O152" s="147">
        <f>+IF(K152&lt;=(Formulas!$D$3), M152, 0)</f>
        <v>0</v>
      </c>
      <c r="P152" s="147">
        <f>NORMDIST(K152,Xbar_R!$I$2,Xbar_R!$K$2/3,FALSE)</f>
        <v>0.53752525614694513</v>
      </c>
      <c r="Q152" s="140">
        <f t="shared" si="9"/>
        <v>1.2088199194477323</v>
      </c>
      <c r="R152" s="135">
        <f t="shared" si="10"/>
        <v>0.79939357602813355</v>
      </c>
    </row>
    <row r="153" spans="10:18" x14ac:dyDescent="0.2">
      <c r="J153" s="142">
        <v>0.14000000000000001</v>
      </c>
      <c r="K153" s="143">
        <f>IF(ISBLANK(Xbar_R!$D$2), Xbar_R!$F$2-(J153*Formulas!$C$15), Xbar_R!$D$2-(J153*Formulas!$C$15))</f>
        <v>6.3313302522212673</v>
      </c>
      <c r="L153" s="143">
        <f>IF(ISBLANK(Xbar_R!$D$2), NORMDIST(K153, Xbar_R!$F$2, Formulas!$C$15, FALSE), NORMDIST(K153, Xbar_R!$D$2, Formulas!$C$15, FALSE))</f>
        <v>0.35133612203841547</v>
      </c>
      <c r="M153" s="143">
        <f t="shared" si="8"/>
        <v>0.79159778077206089</v>
      </c>
      <c r="N153" s="140">
        <f>+IF(K153&gt;=(Formulas!$D$4), M153, 0)</f>
        <v>0</v>
      </c>
      <c r="O153" s="147">
        <f>+IF(K153&lt;=(Formulas!$D$3), M153, 0)</f>
        <v>0</v>
      </c>
      <c r="P153" s="147">
        <f>NORMDIST(K153,Xbar_R!$I$2,Xbar_R!$K$2/3,FALSE)</f>
        <v>0.52888956637205609</v>
      </c>
      <c r="Q153" s="140">
        <f t="shared" si="9"/>
        <v>1.1893994481327932</v>
      </c>
      <c r="R153" s="135">
        <f t="shared" si="10"/>
        <v>0.79939357602813355</v>
      </c>
    </row>
    <row r="154" spans="10:18" x14ac:dyDescent="0.2">
      <c r="J154" s="142">
        <v>0.12</v>
      </c>
      <c r="K154" s="143">
        <f>IF(ISBLANK(Xbar_R!$D$2), Xbar_R!$F$2-(J154*Formulas!$C$15), Xbar_R!$D$2-(J154*Formulas!$C$15))</f>
        <v>6.3538187876182288</v>
      </c>
      <c r="L154" s="143">
        <f>IF(ISBLANK(Xbar_R!$D$2), NORMDIST(K154, Xbar_R!$F$2, Formulas!$C$15, FALSE), NORMDIST(K154, Xbar_R!$D$2, Formulas!$C$15, FALSE))</f>
        <v>0.3522507845016577</v>
      </c>
      <c r="M154" s="143">
        <f t="shared" si="8"/>
        <v>0.79365861292292894</v>
      </c>
      <c r="N154" s="140">
        <f>+IF(K154&gt;=(Formulas!$D$4), M154, 0)</f>
        <v>0</v>
      </c>
      <c r="O154" s="147">
        <f>+IF(K154&lt;=(Formulas!$D$3), M154, 0)</f>
        <v>0</v>
      </c>
      <c r="P154" s="147">
        <f>NORMDIST(K154,Xbar_R!$I$2,Xbar_R!$K$2/3,FALSE)</f>
        <v>0.51980079550130798</v>
      </c>
      <c r="Q154" s="140">
        <f t="shared" si="9"/>
        <v>1.1689600601296868</v>
      </c>
      <c r="R154" s="135">
        <f t="shared" si="10"/>
        <v>0.79939357602813355</v>
      </c>
    </row>
    <row r="155" spans="10:18" x14ac:dyDescent="0.2">
      <c r="J155" s="142">
        <v>0.1</v>
      </c>
      <c r="K155" s="143">
        <f>IF(ISBLANK(Xbar_R!$D$2), Xbar_R!$F$2-(J155*Formulas!$C$15), Xbar_R!$D$2-(J155*Formulas!$C$15))</f>
        <v>6.3763073230151912</v>
      </c>
      <c r="L155" s="143">
        <f>IF(ISBLANK(Xbar_R!$D$2), NORMDIST(K155, Xbar_R!$F$2, Formulas!$C$15, FALSE), NORMDIST(K155, Xbar_R!$D$2, Formulas!$C$15, FALSE))</f>
        <v>0.35302658929993158</v>
      </c>
      <c r="M155" s="143">
        <f t="shared" si="8"/>
        <v>0.79540658393445707</v>
      </c>
      <c r="N155" s="140">
        <f>+IF(K155&gt;=(Formulas!$D$4), M155, 0)</f>
        <v>0</v>
      </c>
      <c r="O155" s="147">
        <f>+IF(K155&lt;=(Formulas!$D$3), M155, 0)</f>
        <v>0</v>
      </c>
      <c r="P155" s="147">
        <f>NORMDIST(K155,Xbar_R!$I$2,Xbar_R!$K$2/3,FALSE)</f>
        <v>0.51028722443786867</v>
      </c>
      <c r="Q155" s="140">
        <f t="shared" si="9"/>
        <v>1.1475653552761846</v>
      </c>
      <c r="R155" s="135">
        <f t="shared" si="10"/>
        <v>0.79939357602813355</v>
      </c>
    </row>
    <row r="156" spans="10:18" x14ac:dyDescent="0.2">
      <c r="J156" s="142">
        <v>8.0000000000000071E-2</v>
      </c>
      <c r="K156" s="143">
        <f>IF(ISBLANK(Xbar_R!$D$2), Xbar_R!$F$2-(J156*Formulas!$C$15), Xbar_R!$D$2-(J156*Formulas!$C$15))</f>
        <v>6.3987958584121527</v>
      </c>
      <c r="L156" s="143">
        <f>IF(ISBLANK(Xbar_R!$D$2), NORMDIST(K156, Xbar_R!$F$2, Formulas!$C$15, FALSE), NORMDIST(K156, Xbar_R!$D$2, Formulas!$C$15, FALSE))</f>
        <v>0.35366260940704242</v>
      </c>
      <c r="M156" s="143">
        <f t="shared" si="8"/>
        <v>0.79683960511768825</v>
      </c>
      <c r="N156" s="140">
        <f>+IF(K156&gt;=(Formulas!$D$4), M156, 0)</f>
        <v>0</v>
      </c>
      <c r="O156" s="147">
        <f>+IF(K156&lt;=(Formulas!$D$3), M156, 0)</f>
        <v>0</v>
      </c>
      <c r="P156" s="147">
        <f>NORMDIST(K156,Xbar_R!$I$2,Xbar_R!$K$2/3,FALSE)</f>
        <v>0.50037806870939494</v>
      </c>
      <c r="Q156" s="140">
        <f t="shared" si="9"/>
        <v>1.1252810352512033</v>
      </c>
      <c r="R156" s="135">
        <f t="shared" si="10"/>
        <v>0.79939357602813355</v>
      </c>
    </row>
    <row r="157" spans="10:18" x14ac:dyDescent="0.2">
      <c r="J157" s="142">
        <v>6.0000000000000053E-2</v>
      </c>
      <c r="K157" s="143">
        <f>IF(ISBLANK(Xbar_R!$D$2), Xbar_R!$F$2-(J157*Formulas!$C$15), Xbar_R!$D$2-(J157*Formulas!$C$15))</f>
        <v>6.4212843938091151</v>
      </c>
      <c r="L157" s="143">
        <f>IF(ISBLANK(Xbar_R!$D$2), NORMDIST(K157, Xbar_R!$F$2, Formulas!$C$15, FALSE), NORMDIST(K157, Xbar_R!$D$2, Formulas!$C$15, FALSE))</f>
        <v>0.35415808381136787</v>
      </c>
      <c r="M157" s="143">
        <f t="shared" si="8"/>
        <v>0.79795596183221507</v>
      </c>
      <c r="N157" s="140">
        <f>+IF(K157&gt;=(Formulas!$D$4), M157, 0)</f>
        <v>0</v>
      </c>
      <c r="O157" s="147">
        <f>+IF(K157&lt;=(Formulas!$D$3), M157, 0)</f>
        <v>0</v>
      </c>
      <c r="P157" s="147">
        <f>NORMDIST(K157,Xbar_R!$I$2,Xbar_R!$K$2/3,FALSE)</f>
        <v>0.49010332972357129</v>
      </c>
      <c r="Q157" s="140">
        <f t="shared" si="9"/>
        <v>1.1021745690690925</v>
      </c>
      <c r="R157" s="135">
        <f t="shared" si="10"/>
        <v>0.79939357602813355</v>
      </c>
    </row>
    <row r="158" spans="10:18" x14ac:dyDescent="0.2">
      <c r="J158" s="142">
        <v>0.04</v>
      </c>
      <c r="K158" s="143">
        <f>IF(ISBLANK(Xbar_R!$D$2), Xbar_R!$F$2-(J158*Formulas!$C$15), Xbar_R!$D$2-(J158*Formulas!$C$15))</f>
        <v>6.4437729292060766</v>
      </c>
      <c r="L158" s="143">
        <f>IF(ISBLANK(Xbar_R!$D$2), NORMDIST(K158, Xbar_R!$F$2, Formulas!$C$15, FALSE), NORMDIST(K158, Xbar_R!$D$2, Formulas!$C$15, FALSE))</f>
        <v>0.35451241903326219</v>
      </c>
      <c r="M158" s="143">
        <f t="shared" si="8"/>
        <v>0.79875431690505405</v>
      </c>
      <c r="N158" s="140">
        <f>+IF(K158&gt;=(Formulas!$D$4), M158, 0)</f>
        <v>0</v>
      </c>
      <c r="O158" s="147">
        <f>+IF(K158&lt;=(Formulas!$D$3), M158, 0)</f>
        <v>0</v>
      </c>
      <c r="P158" s="147">
        <f>NORMDIST(K158,Xbar_R!$I$2,Xbar_R!$K$2/3,FALSE)</f>
        <v>0.47949364440339026</v>
      </c>
      <c r="Q158" s="140">
        <f t="shared" si="9"/>
        <v>1.0783148549301891</v>
      </c>
      <c r="R158" s="135">
        <f t="shared" si="10"/>
        <v>0.79939357602813355</v>
      </c>
    </row>
    <row r="159" spans="10:18" x14ac:dyDescent="0.2">
      <c r="J159" s="142">
        <v>0.02</v>
      </c>
      <c r="K159" s="143">
        <f>IF(ISBLANK(Xbar_R!$D$2), Xbar_R!$F$2-(J159*Formulas!$C$15), Xbar_R!$D$2-(J159*Formulas!$C$15))</f>
        <v>6.466261464603039</v>
      </c>
      <c r="L159" s="143">
        <f>IF(ISBLANK(Xbar_R!$D$2), NORMDIST(K159, Xbar_R!$F$2, Formulas!$C$15, FALSE), NORMDIST(K159, Xbar_R!$D$2, Formulas!$C$15, FALSE))</f>
        <v>0.35472519030968197</v>
      </c>
      <c r="M159" s="143">
        <f t="shared" si="8"/>
        <v>0.79923371329973381</v>
      </c>
      <c r="N159" s="140">
        <f>+IF(K159&gt;=(Formulas!$D$4), M159, 0)</f>
        <v>0</v>
      </c>
      <c r="O159" s="147">
        <f>+IF(K159&lt;=(Formulas!$D$3), M159, 0)</f>
        <v>0</v>
      </c>
      <c r="P159" s="147">
        <f>NORMDIST(K159,Xbar_R!$I$2,Xbar_R!$K$2/3,FALSE)</f>
        <v>0.46858013424895889</v>
      </c>
      <c r="Q159" s="140">
        <f t="shared" si="9"/>
        <v>1.0537718807817049</v>
      </c>
      <c r="R159" s="135">
        <f t="shared" si="10"/>
        <v>0.79939357602813355</v>
      </c>
    </row>
    <row r="160" spans="10:18" x14ac:dyDescent="0.2">
      <c r="J160" s="142">
        <v>0</v>
      </c>
      <c r="K160" s="143">
        <f>IF(ISBLANK(Xbar_R!$D$2), Xbar_R!$F$2+(J160*Formulas!$C$15), Xbar_R!$D$2+(J160*Formulas!$C$15))</f>
        <v>6.4887500000000005</v>
      </c>
      <c r="L160" s="143">
        <f>IF(ISBLANK(Xbar_R!$D$2), NORMDIST(K160, Xbar_R!$F$2, Formulas!$C$15, FALSE), NORMDIST(K160, Xbar_R!$D$2, Formulas!$C$15, FALSE))</f>
        <v>0.35479614244272067</v>
      </c>
      <c r="M160" s="143">
        <f t="shared" si="8"/>
        <v>0.79939357602813355</v>
      </c>
      <c r="N160" s="140">
        <f>+IF(K160&gt;=(Formulas!$D$4), M160, 0)</f>
        <v>0</v>
      </c>
      <c r="O160" s="147">
        <f>+IF(K160&lt;=(Formulas!$D$3), M160, 0)</f>
        <v>0</v>
      </c>
      <c r="P160" s="147">
        <f>NORMDIST(K160,Xbar_R!$I$2,Xbar_R!$K$2/3,FALSE)</f>
        <v>0.45739425485626739</v>
      </c>
      <c r="Q160" s="140">
        <f t="shared" si="9"/>
        <v>1.0286163859062625</v>
      </c>
      <c r="R160" s="135">
        <f t="shared" si="10"/>
        <v>0.79939357602813355</v>
      </c>
    </row>
    <row r="161" spans="10:18" x14ac:dyDescent="0.2">
      <c r="J161" s="142">
        <v>0.02</v>
      </c>
      <c r="K161" s="143">
        <f>IF(ISBLANK(Xbar_R!$D$2), Xbar_R!$F$2+(J161*Formulas!$C$15), Xbar_R!$D$2+(J161*Formulas!$C$15))</f>
        <v>6.511238535396962</v>
      </c>
      <c r="L161" s="143">
        <f>IF(ISBLANK(Xbar_R!$D$2), NORMDIST(K161, Xbar_R!$F$2, Formulas!$C$15, FALSE), NORMDIST(K161, Xbar_R!$D$2, Formulas!$C$15, FALSE))</f>
        <v>0.35472519030968197</v>
      </c>
      <c r="M161" s="143">
        <f t="shared" si="8"/>
        <v>0.79923371329973381</v>
      </c>
      <c r="N161" s="140">
        <f>+IF(K161&gt;=(Formulas!$D$4), M161, 0)</f>
        <v>0</v>
      </c>
      <c r="O161" s="147">
        <f>+IF(K161&lt;=(Formulas!$D$3), M161, 0)</f>
        <v>0</v>
      </c>
      <c r="P161" s="147">
        <f>NORMDIST(K161,Xbar_R!$I$2,Xbar_R!$K$2/3,FALSE)</f>
        <v>0.44596764689800888</v>
      </c>
      <c r="Q161" s="140">
        <f t="shared" si="9"/>
        <v>1.0029195257983778</v>
      </c>
      <c r="R161" s="135">
        <f t="shared" si="10"/>
        <v>0.79939357602813355</v>
      </c>
    </row>
    <row r="162" spans="10:18" x14ac:dyDescent="0.2">
      <c r="J162" s="142">
        <v>0.04</v>
      </c>
      <c r="K162" s="143">
        <f>IF(ISBLANK(Xbar_R!$D$2), Xbar_R!$F$2+(J162*Formulas!$C$15), Xbar_R!$D$2+(J162*Formulas!$C$15))</f>
        <v>6.5337270707939243</v>
      </c>
      <c r="L162" s="143">
        <f>IF(ISBLANK(Xbar_R!$D$2), NORMDIST(K162, Xbar_R!$F$2, Formulas!$C$15, FALSE), NORMDIST(K162, Xbar_R!$D$2, Formulas!$C$15, FALSE))</f>
        <v>0.35451241903326219</v>
      </c>
      <c r="M162" s="143">
        <f t="shared" si="8"/>
        <v>0.79875431690505405</v>
      </c>
      <c r="N162" s="140">
        <f>+IF(K162&gt;=(Formulas!$D$4), M162, 0)</f>
        <v>0</v>
      </c>
      <c r="O162" s="147">
        <f>+IF(K162&lt;=(Formulas!$D$3), M162, 0)</f>
        <v>0</v>
      </c>
      <c r="P162" s="147">
        <f>NORMDIST(K162,Xbar_R!$I$2,Xbar_R!$K$2/3,FALSE)</f>
        <v>0.43433198953776453</v>
      </c>
      <c r="Q162" s="140">
        <f t="shared" si="9"/>
        <v>0.97675254251324861</v>
      </c>
      <c r="R162" s="135">
        <f t="shared" si="10"/>
        <v>0.79939357602813355</v>
      </c>
    </row>
    <row r="163" spans="10:18" x14ac:dyDescent="0.2">
      <c r="J163" s="142">
        <v>0.06</v>
      </c>
      <c r="K163" s="143">
        <f>IF(ISBLANK(Xbar_R!$D$2), Xbar_R!$F$2+(J163*Formulas!$C$15), Xbar_R!$D$2+(J163*Formulas!$C$15))</f>
        <v>6.5562156061908858</v>
      </c>
      <c r="L163" s="143">
        <f>IF(ISBLANK(Xbar_R!$D$2), NORMDIST(K163, Xbar_R!$F$2, Formulas!$C$15, FALSE), NORMDIST(K163, Xbar_R!$D$2, Formulas!$C$15, FALSE))</f>
        <v>0.35415808381136787</v>
      </c>
      <c r="M163" s="143">
        <f t="shared" si="8"/>
        <v>0.79795596183221507</v>
      </c>
      <c r="N163" s="140">
        <f>+IF(K163&gt;=(Formulas!$D$4), M163, 0)</f>
        <v>0</v>
      </c>
      <c r="O163" s="147">
        <f>+IF(K163&lt;=(Formulas!$D$3), M163, 0)</f>
        <v>0</v>
      </c>
      <c r="P163" s="147">
        <f>NORMDIST(K163,Xbar_R!$I$2,Xbar_R!$K$2/3,FALSE)</f>
        <v>0.42251885720709004</v>
      </c>
      <c r="Q163" s="140">
        <f t="shared" si="9"/>
        <v>0.95018644257823892</v>
      </c>
      <c r="R163" s="135">
        <f t="shared" si="10"/>
        <v>0.79939357602813355</v>
      </c>
    </row>
    <row r="164" spans="10:18" x14ac:dyDescent="0.2">
      <c r="J164" s="142">
        <v>0.08</v>
      </c>
      <c r="K164" s="143">
        <f>IF(ISBLANK(Xbar_R!$D$2), Xbar_R!$F$2+(J164*Formulas!$C$15), Xbar_R!$D$2+(J164*Formulas!$C$15))</f>
        <v>6.5787041415878482</v>
      </c>
      <c r="L164" s="143">
        <f>IF(ISBLANK(Xbar_R!$D$2), NORMDIST(K164, Xbar_R!$F$2, Formulas!$C$15, FALSE), NORMDIST(K164, Xbar_R!$D$2, Formulas!$C$15, FALSE))</f>
        <v>0.35366260940704242</v>
      </c>
      <c r="M164" s="143">
        <f t="shared" si="8"/>
        <v>0.79683960511768825</v>
      </c>
      <c r="N164" s="140">
        <f>+IF(K164&gt;=(Formulas!$D$4), M164, 0)</f>
        <v>0</v>
      </c>
      <c r="O164" s="147">
        <f>+IF(K164&lt;=(Formulas!$D$3), M164, 0)</f>
        <v>0</v>
      </c>
      <c r="P164" s="147">
        <f>NORMDIST(K164,Xbar_R!$I$2,Xbar_R!$K$2/3,FALSE)</f>
        <v>0.41055958062592735</v>
      </c>
      <c r="Q164" s="140">
        <f t="shared" si="9"/>
        <v>0.92329168444701892</v>
      </c>
      <c r="R164" s="135">
        <f t="shared" si="10"/>
        <v>0.79939357602813355</v>
      </c>
    </row>
    <row r="165" spans="10:18" x14ac:dyDescent="0.2">
      <c r="J165" s="142">
        <v>0.1</v>
      </c>
      <c r="K165" s="143">
        <f>IF(ISBLANK(Xbar_R!$D$2), Xbar_R!$F$2+(J165*Formulas!$C$15), Xbar_R!$D$2+(J165*Formulas!$C$15))</f>
        <v>6.6011926769848097</v>
      </c>
      <c r="L165" s="143">
        <f>IF(ISBLANK(Xbar_R!$D$2), NORMDIST(K165, Xbar_R!$F$2, Formulas!$C$15, FALSE), NORMDIST(K165, Xbar_R!$D$2, Formulas!$C$15, FALSE))</f>
        <v>0.35302658929993158</v>
      </c>
      <c r="M165" s="143">
        <f t="shared" si="8"/>
        <v>0.79540658393445707</v>
      </c>
      <c r="N165" s="140">
        <f>+IF(K165&gt;=(Formulas!$D$4), M165, 0)</f>
        <v>0</v>
      </c>
      <c r="O165" s="147">
        <f>+IF(K165&lt;=(Formulas!$D$3), M165, 0)</f>
        <v>0</v>
      </c>
      <c r="P165" s="147">
        <f>NORMDIST(K165,Xbar_R!$I$2,Xbar_R!$K$2/3,FALSE)</f>
        <v>0.39848511289099653</v>
      </c>
      <c r="Q165" s="140">
        <f t="shared" si="9"/>
        <v>0.89613787735088635</v>
      </c>
      <c r="R165" s="135">
        <f t="shared" si="10"/>
        <v>0.79939357602813355</v>
      </c>
    </row>
    <row r="166" spans="10:18" x14ac:dyDescent="0.2">
      <c r="J166" s="142">
        <v>0.12</v>
      </c>
      <c r="K166" s="143">
        <f>IF(ISBLANK(Xbar_R!$D$2), Xbar_R!$F$2+(J166*Formulas!$C$15), Xbar_R!$D$2+(J166*Formulas!$C$15))</f>
        <v>6.6236812123817721</v>
      </c>
      <c r="L166" s="143">
        <f>IF(ISBLANK(Xbar_R!$D$2), NORMDIST(K166, Xbar_R!$F$2, Formulas!$C$15, FALSE), NORMDIST(K166, Xbar_R!$D$2, Formulas!$C$15, FALSE))</f>
        <v>0.3522507845016577</v>
      </c>
      <c r="M166" s="143">
        <f t="shared" si="8"/>
        <v>0.79365861292292894</v>
      </c>
      <c r="N166" s="140">
        <f>+IF(K166&gt;=(Formulas!$D$4), M166, 0)</f>
        <v>0</v>
      </c>
      <c r="O166" s="147">
        <f>+IF(K166&lt;=(Formulas!$D$3), M166, 0)</f>
        <v>0</v>
      </c>
      <c r="P166" s="147">
        <f>NORMDIST(K166,Xbar_R!$I$2,Xbar_R!$K$2/3,FALSE)</f>
        <v>0.38632590139506451</v>
      </c>
      <c r="Q166" s="140">
        <f t="shared" si="9"/>
        <v>0.86879349326292776</v>
      </c>
      <c r="R166" s="135">
        <f t="shared" si="10"/>
        <v>0.79939357602813355</v>
      </c>
    </row>
    <row r="167" spans="10:18" x14ac:dyDescent="0.2">
      <c r="J167" s="142">
        <v>0.14000000000000001</v>
      </c>
      <c r="K167" s="143">
        <f>IF(ISBLANK(Xbar_R!$D$2), Xbar_R!$F$2+(J167*Formulas!$C$15), Xbar_R!$D$2+(J167*Formulas!$C$15))</f>
        <v>6.6461697477787336</v>
      </c>
      <c r="L167" s="143">
        <f>IF(ISBLANK(Xbar_R!$D$2), NORMDIST(K167, Xbar_R!$F$2, Formulas!$C$15, FALSE), NORMDIST(K167, Xbar_R!$D$2, Formulas!$C$15, FALSE))</f>
        <v>0.35133612203841547</v>
      </c>
      <c r="M167" s="143">
        <f t="shared" si="8"/>
        <v>0.79159778077206089</v>
      </c>
      <c r="N167" s="140">
        <f>+IF(K167&gt;=(Formulas!$D$4), M167, 0)</f>
        <v>0</v>
      </c>
      <c r="O167" s="147">
        <f>+IF(K167&lt;=(Formulas!$D$3), M167, 0)</f>
        <v>0</v>
      </c>
      <c r="P167" s="147">
        <f>NORMDIST(K167,Xbar_R!$I$2,Xbar_R!$K$2/3,FALSE)</f>
        <v>0.37411176627312748</v>
      </c>
      <c r="Q167" s="140">
        <f t="shared" si="9"/>
        <v>0.84132559354030068</v>
      </c>
      <c r="R167" s="135">
        <f t="shared" si="10"/>
        <v>0.79939357602813355</v>
      </c>
    </row>
    <row r="168" spans="10:18" x14ac:dyDescent="0.2">
      <c r="J168" s="142">
        <v>0.16</v>
      </c>
      <c r="K168" s="143">
        <f>IF(ISBLANK(Xbar_R!$D$2), Xbar_R!$F$2+(J168*Formulas!$C$15), Xbar_R!$D$2+(J168*Formulas!$C$15))</f>
        <v>6.6686582831756951</v>
      </c>
      <c r="L168" s="143">
        <f>IF(ISBLANK(Xbar_R!$D$2), NORMDIST(K168, Xbar_R!$F$2, Formulas!$C$15, FALSE), NORMDIST(K168, Xbar_R!$D$2, Formulas!$C$15, FALSE))</f>
        <v>0.35028369310502189</v>
      </c>
      <c r="M168" s="143">
        <f t="shared" si="8"/>
        <v>0.78922654606023812</v>
      </c>
      <c r="N168" s="140">
        <f>+IF(K168&gt;=(Formulas!$D$4), M168, 0)</f>
        <v>0</v>
      </c>
      <c r="O168" s="147">
        <f>+IF(K168&lt;=(Formulas!$D$3), M168, 0)</f>
        <v>0</v>
      </c>
      <c r="P168" s="147">
        <f>NORMDIST(K168,Xbar_R!$I$2,Xbar_R!$K$2/3,FALSE)</f>
        <v>0.36187178600027881</v>
      </c>
      <c r="Q168" s="140">
        <f t="shared" si="9"/>
        <v>0.81379957164967176</v>
      </c>
      <c r="R168" s="135">
        <f t="shared" si="10"/>
        <v>0.79939357602813355</v>
      </c>
    </row>
    <row r="169" spans="10:18" x14ac:dyDescent="0.2">
      <c r="J169" s="142">
        <v>0.18</v>
      </c>
      <c r="K169" s="143">
        <f>IF(ISBLANK(Xbar_R!$D$2), Xbar_R!$F$2+(J169*Formulas!$C$15), Xbar_R!$D$2+(J169*Formulas!$C$15))</f>
        <v>6.6911468185726575</v>
      </c>
      <c r="L169" s="143">
        <f>IF(ISBLANK(Xbar_R!$D$2), NORMDIST(K169, Xbar_R!$F$2, Formulas!$C$15, FALSE), NORMDIST(K169, Xbar_R!$D$2, Formulas!$C$15, FALSE))</f>
        <v>0.3490947508955683</v>
      </c>
      <c r="M169" s="143">
        <f t="shared" si="8"/>
        <v>0.78654773236750097</v>
      </c>
      <c r="N169" s="140">
        <f>+IF(K169&gt;=(Formulas!$D$4), M169, 0)</f>
        <v>0</v>
      </c>
      <c r="O169" s="147">
        <f>+IF(K169&lt;=(Formulas!$D$3), M169, 0)</f>
        <v>0</v>
      </c>
      <c r="P169" s="147">
        <f>NORMDIST(K169,Xbar_R!$I$2,Xbar_R!$K$2/3,FALSE)</f>
        <v>0.34963419069132423</v>
      </c>
      <c r="Q169" s="140">
        <f t="shared" si="9"/>
        <v>0.78627891321281418</v>
      </c>
      <c r="R169" s="135">
        <f t="shared" si="10"/>
        <v>0.79939357602813355</v>
      </c>
    </row>
    <row r="170" spans="10:18" x14ac:dyDescent="0.2">
      <c r="J170" s="142">
        <v>0.2</v>
      </c>
      <c r="K170" s="143">
        <f>IF(ISBLANK(Xbar_R!$D$2), Xbar_R!$F$2+(J170*Formulas!$C$15), Xbar_R!$D$2+(J170*Formulas!$C$15))</f>
        <v>6.713635353969619</v>
      </c>
      <c r="L170" s="143">
        <f>IF(ISBLANK(Xbar_R!$D$2), NORMDIST(K170, Xbar_R!$F$2, Formulas!$C$15, FALSE), NORMDIST(K170, Xbar_R!$D$2, Formulas!$C$15, FALSE))</f>
        <v>0.34777070811670946</v>
      </c>
      <c r="M170" s="143">
        <f t="shared" si="8"/>
        <v>0.78356452267271948</v>
      </c>
      <c r="N170" s="140">
        <f>+IF(K170&gt;=(Formulas!$D$4), M170, 0)</f>
        <v>0</v>
      </c>
      <c r="O170" s="147">
        <f>+IF(K170&lt;=(Formulas!$D$3), M170, 0)</f>
        <v>0</v>
      </c>
      <c r="P170" s="147">
        <f>NORMDIST(K170,Xbar_R!$I$2,Xbar_R!$K$2/3,FALSE)</f>
        <v>0.3374262635748107</v>
      </c>
      <c r="Q170" s="140">
        <f t="shared" si="9"/>
        <v>0.75882497443533392</v>
      </c>
      <c r="R170" s="135">
        <f t="shared" si="10"/>
        <v>0.79939357602813355</v>
      </c>
    </row>
    <row r="171" spans="10:18" x14ac:dyDescent="0.2">
      <c r="J171" s="142">
        <v>0.22</v>
      </c>
      <c r="K171" s="143">
        <f>IF(ISBLANK(Xbar_R!$D$2), Xbar_R!$F$2+(J171*Formulas!$C$15), Xbar_R!$D$2+(J171*Formulas!$C$15))</f>
        <v>6.7361238893665814</v>
      </c>
      <c r="L171" s="143">
        <f>IF(ISBLANK(Xbar_R!$D$2), NORMDIST(K171, Xbar_R!$F$2, Formulas!$C$15, FALSE), NORMDIST(K171, Xbar_R!$D$2, Formulas!$C$15, FALSE))</f>
        <v>0.34631313419049731</v>
      </c>
      <c r="M171" s="143">
        <f t="shared" si="8"/>
        <v>0.78028045305127991</v>
      </c>
      <c r="N171" s="140">
        <f>+IF(K171&gt;=(Formulas!$D$4), M171, 0)</f>
        <v>0</v>
      </c>
      <c r="O171" s="147">
        <f>+IF(K171&lt;=(Formulas!$D$3), M171, 0)</f>
        <v>0</v>
      </c>
      <c r="P171" s="147">
        <f>NORMDIST(K171,Xbar_R!$I$2,Xbar_R!$K$2/3,FALSE)</f>
        <v>0.32527425103496976</v>
      </c>
      <c r="Q171" s="140">
        <f t="shared" si="9"/>
        <v>0.73149677980344741</v>
      </c>
      <c r="R171" s="135">
        <f t="shared" si="10"/>
        <v>0.79939357602813355</v>
      </c>
    </row>
    <row r="172" spans="10:18" x14ac:dyDescent="0.2">
      <c r="J172" s="142">
        <v>0.24</v>
      </c>
      <c r="K172" s="143">
        <f>IF(ISBLANK(Xbar_R!$D$2), Xbar_R!$F$2+(J172*Formulas!$C$15), Xbar_R!$D$2+(J172*Formulas!$C$15))</f>
        <v>6.7586124247635428</v>
      </c>
      <c r="L172" s="143">
        <f>IF(ISBLANK(Xbar_R!$D$2), NORMDIST(K172, Xbar_R!$F$2, Formulas!$C$15, FALSE), NORMDIST(K172, Xbar_R!$D$2, Formulas!$C$15, FALSE))</f>
        <v>0.34472375215451312</v>
      </c>
      <c r="M172" s="143">
        <f t="shared" si="8"/>
        <v>0.77669940569075113</v>
      </c>
      <c r="N172" s="140">
        <f>+IF(K172&gt;=(Formulas!$D$4), M172, 0)</f>
        <v>0</v>
      </c>
      <c r="O172" s="147">
        <f>+IF(K172&lt;=(Formulas!$D$3), M172, 0)</f>
        <v>0</v>
      </c>
      <c r="P172" s="147">
        <f>NORMDIST(K172,Xbar_R!$I$2,Xbar_R!$K$2/3,FALSE)</f>
        <v>0.31320328153500482</v>
      </c>
      <c r="Q172" s="140">
        <f t="shared" si="9"/>
        <v>0.70435083975367474</v>
      </c>
      <c r="R172" s="135">
        <f t="shared" si="10"/>
        <v>0.79939357602813355</v>
      </c>
    </row>
    <row r="173" spans="10:18" x14ac:dyDescent="0.2">
      <c r="J173" s="142">
        <v>0.26</v>
      </c>
      <c r="K173" s="143">
        <f>IF(ISBLANK(Xbar_R!$D$2), Xbar_R!$F$2+(J173*Formulas!$C$15), Xbar_R!$D$2+(J173*Formulas!$C$15))</f>
        <v>6.7811009601605052</v>
      </c>
      <c r="L173" s="143">
        <f>IF(ISBLANK(Xbar_R!$D$2), NORMDIST(K173, Xbar_R!$F$2, Formulas!$C$15, FALSE), NORMDIST(K173, Xbar_R!$D$2, Formulas!$C$15, FALSE))</f>
        <v>0.34300443526786584</v>
      </c>
      <c r="M173" s="143">
        <f t="shared" si="8"/>
        <v>0.77282560124383715</v>
      </c>
      <c r="N173" s="140">
        <f>+IF(K173&gt;=(Formulas!$D$4), M173, 0)</f>
        <v>0</v>
      </c>
      <c r="O173" s="147">
        <f>+IF(K173&lt;=(Formulas!$D$3), M173, 0)</f>
        <v>0</v>
      </c>
      <c r="P173" s="147">
        <f>NORMDIST(K173,Xbar_R!$I$2,Xbar_R!$K$2/3,FALSE)</f>
        <v>0.30123729365493374</v>
      </c>
      <c r="Q173" s="140">
        <f t="shared" si="9"/>
        <v>0.67744098883990522</v>
      </c>
      <c r="R173" s="135">
        <f t="shared" si="10"/>
        <v>0.79939357602813355</v>
      </c>
    </row>
    <row r="174" spans="10:18" x14ac:dyDescent="0.2">
      <c r="J174" s="142">
        <v>0.28000000000000003</v>
      </c>
      <c r="K174" s="143">
        <f>IF(ISBLANK(Xbar_R!$D$2), Xbar_R!$F$2+(J174*Formulas!$C$15), Xbar_R!$D$2+(J174*Formulas!$C$15))</f>
        <v>6.8035894955574667</v>
      </c>
      <c r="L174" s="143">
        <f>IF(ISBLANK(Xbar_R!$D$2), NORMDIST(K174, Xbar_R!$F$2, Formulas!$C$15, FALSE), NORMDIST(K174, Xbar_R!$D$2, Formulas!$C$15, FALSE))</f>
        <v>0.3411572033324165</v>
      </c>
      <c r="M174" s="143">
        <f t="shared" si="8"/>
        <v>0.76866359053970268</v>
      </c>
      <c r="N174" s="140">
        <f>+IF(K174&gt;=(Formulas!$D$4), M174, 0)</f>
        <v>0</v>
      </c>
      <c r="O174" s="147">
        <f>+IF(K174&lt;=(Formulas!$D$3), M174, 0)</f>
        <v>0</v>
      </c>
      <c r="P174" s="147">
        <f>NORMDIST(K174,Xbar_R!$I$2,Xbar_R!$K$2/3,FALSE)</f>
        <v>0.28939897339776238</v>
      </c>
      <c r="Q174" s="140">
        <f t="shared" si="9"/>
        <v>0.65081824474365713</v>
      </c>
      <c r="R174" s="135">
        <f t="shared" si="10"/>
        <v>0.79939357602813355</v>
      </c>
    </row>
    <row r="175" spans="10:18" x14ac:dyDescent="0.2">
      <c r="J175" s="142">
        <v>0.3</v>
      </c>
      <c r="K175" s="143">
        <f>IF(ISBLANK(Xbar_R!$D$2), Xbar_R!$F$2+(J175*Formulas!$C$15), Xbar_R!$D$2+(J175*Formulas!$C$15))</f>
        <v>6.8260780309544291</v>
      </c>
      <c r="L175" s="143">
        <f>IF(ISBLANK(Xbar_R!$D$2), NORMDIST(K175, Xbar_R!$F$2, Formulas!$C$15, FALSE), NORMDIST(K175, Xbar_R!$D$2, Formulas!$C$15, FALSE))</f>
        <v>0.33918421873933879</v>
      </c>
      <c r="M175" s="143">
        <f t="shared" si="8"/>
        <v>0.76421824567645236</v>
      </c>
      <c r="N175" s="140">
        <f>+IF(K175&gt;=(Formulas!$D$4), M175, 0)</f>
        <v>0</v>
      </c>
      <c r="O175" s="147">
        <f>+IF(K175&lt;=(Formulas!$D$3), M175, 0)</f>
        <v>0</v>
      </c>
      <c r="P175" s="147">
        <f>NORMDIST(K175,Xbar_R!$I$2,Xbar_R!$K$2/3,FALSE)</f>
        <v>0.27770970083974611</v>
      </c>
      <c r="Q175" s="140">
        <f t="shared" si="9"/>
        <v>0.62453068829789826</v>
      </c>
      <c r="R175" s="135">
        <f t="shared" si="10"/>
        <v>0.79939357602813355</v>
      </c>
    </row>
    <row r="176" spans="10:18" x14ac:dyDescent="0.2">
      <c r="J176" s="142">
        <v>0.32</v>
      </c>
      <c r="K176" s="143">
        <f>IF(ISBLANK(Xbar_R!$D$2), Xbar_R!$F$2+(J176*Formulas!$C$15), Xbar_R!$D$2+(J176*Formulas!$C$15))</f>
        <v>6.8485665663513906</v>
      </c>
      <c r="L176" s="143">
        <f>IF(ISBLANK(Xbar_R!$D$2), NORMDIST(K176, Xbar_R!$F$2, Formulas!$C$15, FALSE), NORMDIST(K176, Xbar_R!$D$2, Formulas!$C$15, FALSE))</f>
        <v>0.33708778225184671</v>
      </c>
      <c r="M176" s="143">
        <f t="shared" si="8"/>
        <v>0.75949475051916582</v>
      </c>
      <c r="N176" s="140">
        <f>+IF(K176&gt;=(Formulas!$D$4), M176, 0)</f>
        <v>0</v>
      </c>
      <c r="O176" s="147">
        <f>+IF(K176&lt;=(Formulas!$D$3), M176, 0)</f>
        <v>0</v>
      </c>
      <c r="P176" s="147">
        <f>NORMDIST(K176,Xbar_R!$I$2,Xbar_R!$K$2/3,FALSE)</f>
        <v>0.26618950612476444</v>
      </c>
      <c r="Q176" s="140">
        <f t="shared" si="9"/>
        <v>0.59862336452448395</v>
      </c>
      <c r="R176" s="135">
        <f t="shared" si="10"/>
        <v>0.79939357602813355</v>
      </c>
    </row>
    <row r="177" spans="10:18" x14ac:dyDescent="0.2">
      <c r="J177" s="142">
        <v>0.34</v>
      </c>
      <c r="K177" s="143">
        <f>IF(ISBLANK(Xbar_R!$D$2), Xbar_R!$F$2+(J177*Formulas!$C$15), Xbar_R!$D$2+(J177*Formulas!$C$15))</f>
        <v>6.8710551017483521</v>
      </c>
      <c r="L177" s="143">
        <f>IF(ISBLANK(Xbar_R!$D$2), NORMDIST(K177, Xbar_R!$F$2, Formulas!$C$15, FALSE), NORMDIST(K177, Xbar_R!$D$2, Formulas!$C$15, FALSE))</f>
        <v>0.33487032853559928</v>
      </c>
      <c r="M177" s="143">
        <f t="shared" si="8"/>
        <v>0.75449859062942271</v>
      </c>
      <c r="N177" s="140">
        <f>+IF(K177&gt;=(Formulas!$D$4), M177, 0)</f>
        <v>0</v>
      </c>
      <c r="O177" s="147">
        <f>+IF(K177&lt;=(Formulas!$D$3), M177, 0)</f>
        <v>0</v>
      </c>
      <c r="P177" s="147">
        <f>NORMDIST(K177,Xbar_R!$I$2,Xbar_R!$K$2/3,FALSE)</f>
        <v>0.25485703472992643</v>
      </c>
      <c r="Q177" s="140">
        <f t="shared" si="9"/>
        <v>0.57313820452131037</v>
      </c>
      <c r="R177" s="135">
        <f t="shared" si="10"/>
        <v>0.79939357602813355</v>
      </c>
    </row>
    <row r="178" spans="10:18" x14ac:dyDescent="0.2">
      <c r="J178" s="142">
        <v>0.36</v>
      </c>
      <c r="K178" s="143">
        <f>IF(ISBLANK(Xbar_R!$D$2), Xbar_R!$F$2+(J178*Formulas!$C$15), Xbar_R!$D$2+(J178*Formulas!$C$15))</f>
        <v>6.8935436371453145</v>
      </c>
      <c r="L178" s="143">
        <f>IF(ISBLANK(Xbar_R!$D$2), NORMDIST(K178, Xbar_R!$F$2, Formulas!$C$15, FALSE), NORMDIST(K178, Xbar_R!$D$2, Formulas!$C$15, FALSE))</f>
        <v>0.33253442144893286</v>
      </c>
      <c r="M178" s="143">
        <f t="shared" si="8"/>
        <v>0.7492355426536933</v>
      </c>
      <c r="N178" s="140">
        <f>+IF(K178&gt;=(Formulas!$D$4), M178, 0)</f>
        <v>0</v>
      </c>
      <c r="O178" s="147">
        <f>+IF(K178&lt;=(Formulas!$D$3), M178, 0)</f>
        <v>0</v>
      </c>
      <c r="P178" s="147">
        <f>NORMDIST(K178,Xbar_R!$I$2,Xbar_R!$K$2/3,FALSE)</f>
        <v>0.24372952186018673</v>
      </c>
      <c r="Q178" s="140">
        <f t="shared" si="9"/>
        <v>0.54811396787934841</v>
      </c>
      <c r="R178" s="135">
        <f t="shared" si="10"/>
        <v>0.79939357602813355</v>
      </c>
    </row>
    <row r="179" spans="10:18" x14ac:dyDescent="0.2">
      <c r="J179" s="142">
        <v>0.38</v>
      </c>
      <c r="K179" s="143">
        <f>IF(ISBLANK(Xbar_R!$D$2), Xbar_R!$F$2+(J179*Formulas!$C$15), Xbar_R!$D$2+(J179*Formulas!$C$15))</f>
        <v>6.916032172542276</v>
      </c>
      <c r="L179" s="143">
        <f>IF(ISBLANK(Xbar_R!$D$2), NORMDIST(K179, Xbar_R!$F$2, Formulas!$C$15, FALSE), NORMDIST(K179, Xbar_R!$D$2, Formulas!$C$15, FALSE))</f>
        <v>0.33008274910566882</v>
      </c>
      <c r="M179" s="143">
        <f t="shared" si="8"/>
        <v>0.74371166319931759</v>
      </c>
      <c r="N179" s="140">
        <f>+IF(K179&gt;=(Formulas!$D$4), M179, 0)</f>
        <v>0</v>
      </c>
      <c r="O179" s="147">
        <f>+IF(K179&lt;=(Formulas!$D$3), M179, 0)</f>
        <v>0</v>
      </c>
      <c r="P179" s="147">
        <f>NORMDIST(K179,Xbar_R!$I$2,Xbar_R!$K$2/3,FALSE)</f>
        <v>0.23282277576444127</v>
      </c>
      <c r="Q179" s="140">
        <f t="shared" si="9"/>
        <v>0.52358620516285259</v>
      </c>
      <c r="R179" s="135">
        <f t="shared" si="10"/>
        <v>0.79939357602813355</v>
      </c>
    </row>
    <row r="180" spans="10:18" x14ac:dyDescent="0.2">
      <c r="J180" s="142">
        <v>0.4</v>
      </c>
      <c r="K180" s="143">
        <f>IF(ISBLANK(Xbar_R!$D$2), Xbar_R!$F$2+(J180*Formulas!$C$15), Xbar_R!$D$2+(J180*Formulas!$C$15))</f>
        <v>6.9385207079392384</v>
      </c>
      <c r="L180" s="143">
        <f>IF(ISBLANK(Xbar_R!$D$2), NORMDIST(K180, Xbar_R!$F$2, Formulas!$C$15, FALSE), NORMDIST(K180, Xbar_R!$D$2, Formulas!$C$15, FALSE))</f>
        <v>0.32751811872379666</v>
      </c>
      <c r="M180" s="143">
        <f t="shared" si="8"/>
        <v>0.73793327722803781</v>
      </c>
      <c r="N180" s="140">
        <f>+IF(K180&gt;=(Formulas!$D$4), M180, 0)</f>
        <v>0</v>
      </c>
      <c r="O180" s="147">
        <f>+IF(K180&lt;=(Formulas!$D$3), M180, 0)</f>
        <v>0</v>
      </c>
      <c r="P180" s="147">
        <f>NORMDIST(K180,Xbar_R!$I$2,Xbar_R!$K$2/3,FALSE)</f>
        <v>0.22215116970482415</v>
      </c>
      <c r="Q180" s="140">
        <f t="shared" si="9"/>
        <v>0.49958723984942038</v>
      </c>
      <c r="R180" s="135">
        <f t="shared" si="10"/>
        <v>0.79939357602813355</v>
      </c>
    </row>
    <row r="181" spans="10:18" x14ac:dyDescent="0.2">
      <c r="J181" s="142">
        <v>0.42</v>
      </c>
      <c r="K181" s="143">
        <f>IF(ISBLANK(Xbar_R!$D$2), Xbar_R!$F$2+(J181*Formulas!$C$15), Xbar_R!$D$2+(J181*Formulas!$C$15))</f>
        <v>6.9610092433361999</v>
      </c>
      <c r="L181" s="143">
        <f>IF(ISBLANK(Xbar_R!$D$2), NORMDIST(K181, Xbar_R!$F$2, Formulas!$C$15, FALSE), NORMDIST(K181, Xbar_R!$D$2, Formulas!$C$15, FALSE))</f>
        <v>0.3248434512738429</v>
      </c>
      <c r="M181" s="143">
        <f t="shared" si="8"/>
        <v>0.73190696599820315</v>
      </c>
      <c r="N181" s="140">
        <f>+IF(K181&gt;=(Formulas!$D$4), M181, 0)</f>
        <v>0</v>
      </c>
      <c r="O181" s="147">
        <f>+IF(K181&lt;=(Formulas!$D$3), M181, 0)</f>
        <v>0</v>
      </c>
      <c r="P181" s="147">
        <f>NORMDIST(K181,Xbar_R!$I$2,Xbar_R!$K$2/3,FALSE)</f>
        <v>0.2117276422551706</v>
      </c>
      <c r="Q181" s="140">
        <f t="shared" si="9"/>
        <v>0.47614616900119433</v>
      </c>
      <c r="R181" s="135">
        <f t="shared" si="10"/>
        <v>0.79939357602813355</v>
      </c>
    </row>
    <row r="182" spans="10:18" x14ac:dyDescent="0.2">
      <c r="J182" s="142">
        <v>0.44</v>
      </c>
      <c r="K182" s="143">
        <f>IF(ISBLANK(Xbar_R!$D$2), Xbar_R!$F$2+(J182*Formulas!$C$15), Xbar_R!$D$2+(J182*Formulas!$C$15))</f>
        <v>6.9834977787331622</v>
      </c>
      <c r="L182" s="143">
        <f>IF(ISBLANK(Xbar_R!$D$2), NORMDIST(K182, Xbar_R!$F$2, Formulas!$C$15, FALSE), NORMDIST(K182, Xbar_R!$D$2, Formulas!$C$15, FALSE))</f>
        <v>0.3220617759411894</v>
      </c>
      <c r="M182" s="143">
        <f t="shared" si="8"/>
        <v>0.72563955458778151</v>
      </c>
      <c r="N182" s="140">
        <f>+IF(K182&gt;=(Formulas!$D$4), M182, 0)</f>
        <v>0</v>
      </c>
      <c r="O182" s="147">
        <f>+IF(K182&lt;=(Formulas!$D$3), M182, 0)</f>
        <v>0</v>
      </c>
      <c r="P182" s="147">
        <f>NORMDIST(K182,Xbar_R!$I$2,Xbar_R!$K$2/3,FALSE)</f>
        <v>0.20156370555412606</v>
      </c>
      <c r="Q182" s="140">
        <f t="shared" si="9"/>
        <v>0.45328888182496208</v>
      </c>
      <c r="R182" s="135">
        <f t="shared" si="10"/>
        <v>0.79939357602813355</v>
      </c>
    </row>
    <row r="183" spans="10:18" x14ac:dyDescent="0.2">
      <c r="J183" s="142">
        <v>0.46</v>
      </c>
      <c r="K183" s="143">
        <f>IF(ISBLANK(Xbar_R!$D$2), Xbar_R!$F$2+(J183*Formulas!$C$15), Xbar_R!$D$2+(J183*Formulas!$C$15))</f>
        <v>7.0059863141301237</v>
      </c>
      <c r="L183" s="143">
        <f>IF(ISBLANK(Xbar_R!$D$2), NORMDIST(K183, Xbar_R!$F$2, Formulas!$C$15, FALSE), NORMDIST(K183, Xbar_R!$D$2, Formulas!$C$15, FALSE))</f>
        <v>0.31917622441702392</v>
      </c>
      <c r="M183" s="143">
        <f t="shared" si="8"/>
        <v>0.71913809903126147</v>
      </c>
      <c r="N183" s="140">
        <f>+IF(K183&gt;=(Formulas!$D$4), M183, 0)</f>
        <v>0</v>
      </c>
      <c r="O183" s="147">
        <f>+IF(K183&lt;=(Formulas!$D$3), M183, 0)</f>
        <v>0</v>
      </c>
      <c r="P183" s="147">
        <f>NORMDIST(K183,Xbar_R!$I$2,Xbar_R!$K$2/3,FALSE)</f>
        <v>0.19166946109353025</v>
      </c>
      <c r="Q183" s="140">
        <f t="shared" si="9"/>
        <v>0.43103809517804792</v>
      </c>
      <c r="R183" s="135">
        <f t="shared" si="10"/>
        <v>0.79939357602813355</v>
      </c>
    </row>
    <row r="184" spans="10:18" x14ac:dyDescent="0.2">
      <c r="J184" s="142">
        <v>0.48</v>
      </c>
      <c r="K184" s="143">
        <f>IF(ISBLANK(Xbar_R!$D$2), Xbar_R!$F$2+(J184*Formulas!$C$15), Xbar_R!$D$2+(J184*Formulas!$C$15))</f>
        <v>7.0284748495270852</v>
      </c>
      <c r="L184" s="143">
        <f>IF(ISBLANK(Xbar_R!$D$2), NORMDIST(K184, Xbar_R!$F$2, Formulas!$C$15, FALSE), NORMDIST(K184, Xbar_R!$D$2, Formulas!$C$15, FALSE))</f>
        <v>0.31619002503295818</v>
      </c>
      <c r="M184" s="143">
        <f t="shared" si="8"/>
        <v>0.71240987310432169</v>
      </c>
      <c r="N184" s="140">
        <f>+IF(K184&gt;=(Formulas!$D$4), M184, 0)</f>
        <v>0</v>
      </c>
      <c r="O184" s="147">
        <f>+IF(K184&lt;=(Formulas!$D$3), M184, 0)</f>
        <v>0</v>
      </c>
      <c r="P184" s="147">
        <f>NORMDIST(K184,Xbar_R!$I$2,Xbar_R!$K$2/3,FALSE)</f>
        <v>0.1820536225835826</v>
      </c>
      <c r="Q184" s="140">
        <f t="shared" si="9"/>
        <v>0.40941340498890505</v>
      </c>
      <c r="R184" s="135">
        <f t="shared" si="10"/>
        <v>0.79939357602813355</v>
      </c>
    </row>
    <row r="185" spans="10:18" x14ac:dyDescent="0.2">
      <c r="J185" s="142">
        <v>0.5</v>
      </c>
      <c r="K185" s="143">
        <f>IF(ISBLANK(Xbar_R!$D$2), Xbar_R!$F$2+(J185*Formulas!$C$15), Xbar_R!$D$2+(J185*Formulas!$C$15))</f>
        <v>7.0509633849240476</v>
      </c>
      <c r="L185" s="143">
        <f>IF(ISBLANK(Xbar_R!$D$2), NORMDIST(K185, Xbar_R!$F$2, Formulas!$C$15, FALSE), NORMDIST(K185, Xbar_R!$D$2, Formulas!$C$15, FALSE))</f>
        <v>0.3131064967546639</v>
      </c>
      <c r="M185" s="143">
        <f t="shared" si="8"/>
        <v>0.70546235479085107</v>
      </c>
      <c r="N185" s="140">
        <f>+IF(K185&gt;=(Formulas!$D$4), M185, 0)</f>
        <v>0</v>
      </c>
      <c r="O185" s="147">
        <f>+IF(K185&lt;=(Formulas!$D$3), M185, 0)</f>
        <v>0</v>
      </c>
      <c r="P185" s="147">
        <f>NORMDIST(K185,Xbar_R!$I$2,Xbar_R!$K$2/3,FALSE)</f>
        <v>0.17272354540312157</v>
      </c>
      <c r="Q185" s="140">
        <f t="shared" si="9"/>
        <v>0.38843135248671934</v>
      </c>
      <c r="R185" s="135">
        <f t="shared" si="10"/>
        <v>0.79939357602813355</v>
      </c>
    </row>
    <row r="186" spans="10:18" x14ac:dyDescent="0.2">
      <c r="J186" s="142">
        <v>0.52</v>
      </c>
      <c r="K186" s="143">
        <f>IF(ISBLANK(Xbar_R!$D$2), Xbar_R!$F$2+(J186*Formulas!$C$15), Xbar_R!$D$2+(J186*Formulas!$C$15))</f>
        <v>7.0734519203210091</v>
      </c>
      <c r="L186" s="143">
        <f>IF(ISBLANK(Xbar_R!$D$2), NORMDIST(K186, Xbar_R!$F$2, Formulas!$C$15, FALSE), NORMDIST(K186, Xbar_R!$D$2, Formulas!$C$15, FALSE))</f>
        <v>0.3099290430501353</v>
      </c>
      <c r="M186" s="143">
        <f t="shared" si="8"/>
        <v>0.69830321246748994</v>
      </c>
      <c r="N186" s="140">
        <f>+IF(K186&gt;=(Formulas!$D$4), M186, 0)</f>
        <v>0</v>
      </c>
      <c r="O186" s="147">
        <f>+IF(K186&lt;=(Formulas!$D$3), M186, 0)</f>
        <v>0</v>
      </c>
      <c r="P186" s="147">
        <f>NORMDIST(K186,Xbar_R!$I$2,Xbar_R!$K$2/3,FALSE)</f>
        <v>0.16368526211609211</v>
      </c>
      <c r="Q186" s="140">
        <f t="shared" si="9"/>
        <v>0.36810550407302922</v>
      </c>
      <c r="R186" s="135">
        <f t="shared" si="10"/>
        <v>0.79939357602813355</v>
      </c>
    </row>
    <row r="187" spans="10:18" x14ac:dyDescent="0.2">
      <c r="J187" s="142">
        <v>0.54</v>
      </c>
      <c r="K187" s="143">
        <f>IF(ISBLANK(Xbar_R!$D$2), Xbar_R!$F$2+(J187*Formulas!$C$15), Xbar_R!$D$2+(J187*Formulas!$C$15))</f>
        <v>7.0959404557179715</v>
      </c>
      <c r="L187" s="143">
        <f>IF(ISBLANK(Xbar_R!$D$2), NORMDIST(K187, Xbar_R!$F$2, Formulas!$C$15, FALSE), NORMDIST(K187, Xbar_R!$D$2, Formulas!$C$15, FALSE))</f>
        <v>0.30666114564838842</v>
      </c>
      <c r="M187" s="143">
        <f t="shared" si="8"/>
        <v>0.69094029084131348</v>
      </c>
      <c r="N187" s="140">
        <f>+IF(K187&gt;=(Formulas!$D$4), M187, 0)</f>
        <v>0</v>
      </c>
      <c r="O187" s="147">
        <f>+IF(K187&lt;=(Formulas!$D$3), M187, 0)</f>
        <v>0</v>
      </c>
      <c r="P187" s="147">
        <f>NORMDIST(K187,Xbar_R!$I$2,Xbar_R!$K$2/3,FALSE)</f>
        <v>0.15494352351396989</v>
      </c>
      <c r="Q187" s="140">
        <f t="shared" si="9"/>
        <v>0.34844654362045896</v>
      </c>
      <c r="R187" s="135">
        <f t="shared" si="10"/>
        <v>0.79939357602813355</v>
      </c>
    </row>
    <row r="188" spans="10:18" x14ac:dyDescent="0.2">
      <c r="J188" s="142">
        <v>0.56000000000000005</v>
      </c>
      <c r="K188" s="143">
        <f>IF(ISBLANK(Xbar_R!$D$2), Xbar_R!$F$2+(J188*Formulas!$C$15), Xbar_R!$D$2+(J188*Formulas!$C$15))</f>
        <v>7.118428991114933</v>
      </c>
      <c r="L188" s="143">
        <f>IF(ISBLANK(Xbar_R!$D$2), NORMDIST(K188, Xbar_R!$F$2, Formulas!$C$15, FALSE), NORMDIST(K188, Xbar_R!$D$2, Formulas!$C$15, FALSE))</f>
        <v>0.30330635820456903</v>
      </c>
      <c r="M188" s="143">
        <f t="shared" si="8"/>
        <v>0.683381596676644</v>
      </c>
      <c r="N188" s="140">
        <f>+IF(K188&gt;=(Formulas!$D$4), M188, 0)</f>
        <v>0</v>
      </c>
      <c r="O188" s="147">
        <f>+IF(K188&lt;=(Formulas!$D$3), M188, 0)</f>
        <v>0</v>
      </c>
      <c r="P188" s="147">
        <f>NORMDIST(K188,Xbar_R!$I$2,Xbar_R!$K$2/3,FALSE)</f>
        <v>0.14650184462846996</v>
      </c>
      <c r="Q188" s="140">
        <f t="shared" si="9"/>
        <v>0.3294623759489328</v>
      </c>
      <c r="R188" s="135">
        <f t="shared" si="10"/>
        <v>0.79939357602813355</v>
      </c>
    </row>
    <row r="189" spans="10:18" x14ac:dyDescent="0.2">
      <c r="J189" s="142">
        <v>0.57999999999999996</v>
      </c>
      <c r="K189" s="143">
        <f>IF(ISBLANK(Xbar_R!$D$2), Xbar_R!$F$2+(J189*Formulas!$C$15), Xbar_R!$D$2+(J189*Formulas!$C$15))</f>
        <v>7.1409175265118954</v>
      </c>
      <c r="L189" s="143">
        <f>IF(ISBLANK(Xbar_R!$D$2), NORMDIST(K189, Xbar_R!$F$2, Formulas!$C$15, FALSE), NORMDIST(K189, Xbar_R!$D$2, Formulas!$C$15, FALSE))</f>
        <v>0.29986829988753488</v>
      </c>
      <c r="M189" s="143">
        <f t="shared" si="8"/>
        <v>0.67563528434718867</v>
      </c>
      <c r="N189" s="140">
        <f>+IF(K189&gt;=(Formulas!$D$4), M189, 0)</f>
        <v>0</v>
      </c>
      <c r="O189" s="147">
        <f>+IF(K189&lt;=(Formulas!$D$3), M189, 0)</f>
        <v>0</v>
      </c>
      <c r="P189" s="147">
        <f>NORMDIST(K189,Xbar_R!$I$2,Xbar_R!$K$2/3,FALSE)</f>
        <v>0.13836255514910523</v>
      </c>
      <c r="Q189" s="140">
        <f t="shared" si="9"/>
        <v>0.31115824020778776</v>
      </c>
      <c r="R189" s="135">
        <f t="shared" si="10"/>
        <v>0.79939357602813355</v>
      </c>
    </row>
    <row r="190" spans="10:18" x14ac:dyDescent="0.2">
      <c r="J190" s="142">
        <v>0.6</v>
      </c>
      <c r="K190" s="143">
        <f>IF(ISBLANK(Xbar_R!$D$2), Xbar_R!$F$2+(J190*Formulas!$C$15), Xbar_R!$D$2+(J190*Formulas!$C$15))</f>
        <v>7.1634060619088569</v>
      </c>
      <c r="L190" s="143">
        <f>IF(ISBLANK(Xbar_R!$D$2), NORMDIST(K190, Xbar_R!$F$2, Formulas!$C$15, FALSE), NORMDIST(K190, Xbar_R!$D$2, Formulas!$C$15, FALSE))</f>
        <v>0.29635064890603507</v>
      </c>
      <c r="M190" s="143">
        <f t="shared" si="8"/>
        <v>0.66770964124983179</v>
      </c>
      <c r="N190" s="140">
        <f>+IF(K190&gt;=(Formulas!$D$4), M190, 0)</f>
        <v>0</v>
      </c>
      <c r="O190" s="147">
        <f>+IF(K190&lt;=(Formulas!$D$3), M190, 0)</f>
        <v>0</v>
      </c>
      <c r="P190" s="147">
        <f>NORMDIST(K190,Xbar_R!$I$2,Xbar_R!$K$2/3,FALSE)</f>
        <v>0.13052685367595226</v>
      </c>
      <c r="Q190" s="140">
        <f t="shared" si="9"/>
        <v>0.29353683188273622</v>
      </c>
      <c r="R190" s="135">
        <f t="shared" si="10"/>
        <v>0.79939357602813355</v>
      </c>
    </row>
    <row r="191" spans="10:18" x14ac:dyDescent="0.2">
      <c r="J191" s="142">
        <v>0.62</v>
      </c>
      <c r="K191" s="143">
        <f>IF(ISBLANK(Xbar_R!$D$2), Xbar_R!$F$2+(J191*Formulas!$C$15), Xbar_R!$D$2+(J191*Formulas!$C$15))</f>
        <v>7.1858945973058184</v>
      </c>
      <c r="L191" s="143">
        <f>IF(ISBLANK(Xbar_R!$D$2), NORMDIST(K191, Xbar_R!$F$2, Formulas!$C$15, FALSE), NORMDIST(K191, Xbar_R!$D$2, Formulas!$C$15, FALSE))</f>
        <v>0.29275713598959974</v>
      </c>
      <c r="M191" s="143">
        <f t="shared" si="8"/>
        <v>0.6596130731163824</v>
      </c>
      <c r="N191" s="140">
        <f>+IF(K191&gt;=(Formulas!$D$4), M191, 0)</f>
        <v>0</v>
      </c>
      <c r="O191" s="147">
        <f>+IF(K191&lt;=(Formulas!$D$3), M191, 0)</f>
        <v>0</v>
      </c>
      <c r="P191" s="147">
        <f>NORMDIST(K191,Xbar_R!$I$2,Xbar_R!$K$2/3,FALSE)</f>
        <v>0.12299486523899641</v>
      </c>
      <c r="Q191" s="140">
        <f t="shared" si="9"/>
        <v>0.27659843214891383</v>
      </c>
      <c r="R191" s="135">
        <f t="shared" si="10"/>
        <v>0.79939357602813355</v>
      </c>
    </row>
    <row r="192" spans="10:18" x14ac:dyDescent="0.2">
      <c r="J192" s="142">
        <v>0.64</v>
      </c>
      <c r="K192" s="143">
        <f>IF(ISBLANK(Xbar_R!$D$2), Xbar_R!$F$2+(J192*Formulas!$C$15), Xbar_R!$D$2+(J192*Formulas!$C$15))</f>
        <v>7.2083831327027807</v>
      </c>
      <c r="L192" s="143">
        <f>IF(ISBLANK(Xbar_R!$D$2), NORMDIST(K192, Xbar_R!$F$2, Formulas!$C$15, FALSE), NORMDIST(K192, Xbar_R!$D$2, Formulas!$C$15, FALSE))</f>
        <v>0.28909153784020714</v>
      </c>
      <c r="M192" s="143">
        <f t="shared" si="8"/>
        <v>0.65135408925948168</v>
      </c>
      <c r="N192" s="140">
        <f>+IF(K192&gt;=(Formulas!$D$4), M192, 0)</f>
        <v>0</v>
      </c>
      <c r="O192" s="147">
        <f>+IF(K192&lt;=(Formulas!$D$3), M192, 0)</f>
        <v>0</v>
      </c>
      <c r="P192" s="147">
        <f>NORMDIST(K192,Xbar_R!$I$2,Xbar_R!$K$2/3,FALSE)</f>
        <v>0.11576570152144891</v>
      </c>
      <c r="Q192" s="140">
        <f t="shared" si="9"/>
        <v>0.26034104330478608</v>
      </c>
      <c r="R192" s="135">
        <f t="shared" si="10"/>
        <v>0.79939357602813355</v>
      </c>
    </row>
    <row r="193" spans="10:18" x14ac:dyDescent="0.2">
      <c r="J193" s="142">
        <v>0.66</v>
      </c>
      <c r="K193" s="143">
        <f>IF(ISBLANK(Xbar_R!$D$2), Xbar_R!$F$2+(J193*Formulas!$C$15), Xbar_R!$D$2+(J193*Formulas!$C$15))</f>
        <v>7.2308716680997422</v>
      </c>
      <c r="L193" s="143">
        <f>IF(ISBLANK(Xbar_R!$D$2), NORMDIST(K193, Xbar_R!$F$2, Formulas!$C$15, FALSE), NORMDIST(K193, Xbar_R!$D$2, Formulas!$C$15, FALSE))</f>
        <v>0.28535767057068562</v>
      </c>
      <c r="M193" s="143">
        <f t="shared" si="8"/>
        <v>0.6429412877886227</v>
      </c>
      <c r="N193" s="140">
        <f>+IF(K193&gt;=(Formulas!$D$4), M193, 0)</f>
        <v>0</v>
      </c>
      <c r="O193" s="147">
        <f>+IF(K193&lt;=(Formulas!$D$3), M193, 0)</f>
        <v>0</v>
      </c>
      <c r="P193" s="147">
        <f>NORMDIST(K193,Xbar_R!$I$2,Xbar_R!$K$2/3,FALSE)</f>
        <v>0.10883752323505888</v>
      </c>
      <c r="Q193" s="140">
        <f t="shared" si="9"/>
        <v>0.2447605290455937</v>
      </c>
      <c r="R193" s="135">
        <f t="shared" si="10"/>
        <v>0.79939357602813355</v>
      </c>
    </row>
    <row r="194" spans="10:18" x14ac:dyDescent="0.2">
      <c r="J194" s="142">
        <v>0.68</v>
      </c>
      <c r="K194" s="143">
        <f>IF(ISBLANK(Xbar_R!$D$2), Xbar_R!$F$2+(J194*Formulas!$C$15), Xbar_R!$D$2+(J194*Formulas!$C$15))</f>
        <v>7.2533602034967046</v>
      </c>
      <c r="L194" s="143">
        <f>IF(ISBLANK(Xbar_R!$D$2), NORMDIST(K194, Xbar_R!$F$2, Formulas!$C$15, FALSE), NORMDIST(K194, Xbar_R!$D$2, Formulas!$C$15, FALSE))</f>
        <v>0.28155938314565682</v>
      </c>
      <c r="M194" s="143">
        <f t="shared" si="8"/>
        <v>0.63438334083189485</v>
      </c>
      <c r="N194" s="140">
        <f>+IF(K194&gt;=(Formulas!$D$4), M194, 0)</f>
        <v>0</v>
      </c>
      <c r="O194" s="147">
        <f>+IF(K194&lt;=(Formulas!$D$3), M194, 0)</f>
        <v>0</v>
      </c>
      <c r="P194" s="147">
        <f>NORMDIST(K194,Xbar_R!$I$2,Xbar_R!$K$2/3,FALSE)</f>
        <v>0.10220760411035576</v>
      </c>
      <c r="Q194" s="140">
        <f t="shared" si="9"/>
        <v>0.22985075836855282</v>
      </c>
      <c r="R194" s="135">
        <f t="shared" si="10"/>
        <v>0.79939357602813355</v>
      </c>
    </row>
    <row r="195" spans="10:18" x14ac:dyDescent="0.2">
      <c r="J195" s="142">
        <v>0.7</v>
      </c>
      <c r="K195" s="143">
        <f>IF(ISBLANK(Xbar_R!$D$2), Xbar_R!$F$2+(J195*Formulas!$C$15), Xbar_R!$D$2+(J195*Formulas!$C$15))</f>
        <v>7.2758487388936661</v>
      </c>
      <c r="L195" s="143">
        <f>IF(ISBLANK(Xbar_R!$D$2), NORMDIST(K195, Xbar_R!$F$2, Formulas!$C$15, FALSE), NORMDIST(K195, Xbar_R!$D$2, Formulas!$C$15, FALSE))</f>
        <v>0.27770055084062578</v>
      </c>
      <c r="M195" s="143">
        <f t="shared" si="8"/>
        <v>0.62568897979861593</v>
      </c>
      <c r="N195" s="140">
        <f>+IF(K195&gt;=(Formulas!$D$4), M195, 0)</f>
        <v>0</v>
      </c>
      <c r="O195" s="147">
        <f>+IF(K195&lt;=(Formulas!$D$3), M195, 0)</f>
        <v>0</v>
      </c>
      <c r="P195" s="147">
        <f>NORMDIST(K195,Xbar_R!$I$2,Xbar_R!$K$2/3,FALSE)</f>
        <v>9.5872395983556791E-2</v>
      </c>
      <c r="Q195" s="140">
        <f t="shared" si="9"/>
        <v>0.21560375194430359</v>
      </c>
      <c r="R195" s="135">
        <f t="shared" si="10"/>
        <v>0.79939357602813355</v>
      </c>
    </row>
    <row r="196" spans="10:18" x14ac:dyDescent="0.2">
      <c r="J196" s="142">
        <v>0.72</v>
      </c>
      <c r="K196" s="143">
        <f>IF(ISBLANK(Xbar_R!$D$2), Xbar_R!$F$2+(J196*Formulas!$C$15), Xbar_R!$D$2+(J196*Formulas!$C$15))</f>
        <v>7.2983372742906285</v>
      </c>
      <c r="L196" s="143">
        <f>IF(ISBLANK(Xbar_R!$D$2), NORMDIST(K196, Xbar_R!$F$2, Formulas!$C$15, FALSE), NORMDIST(K196, Xbar_R!$D$2, Formulas!$C$15, FALSE))</f>
        <v>0.2737850687345717</v>
      </c>
      <c r="M196" s="143">
        <f t="shared" ref="M196:M259" si="11">100*(L196/$L$317)</f>
        <v>0.61686698071744483</v>
      </c>
      <c r="N196" s="140">
        <f>+IF(K196&gt;=(Formulas!$D$4), M196, 0)</f>
        <v>0</v>
      </c>
      <c r="O196" s="147">
        <f>+IF(K196&lt;=(Formulas!$D$3), M196, 0)</f>
        <v>0</v>
      </c>
      <c r="P196" s="147">
        <f>NORMDIST(K196,Xbar_R!$I$2,Xbar_R!$K$2/3,FALSE)</f>
        <v>8.9827594484119547E-2</v>
      </c>
      <c r="Q196" s="140">
        <f t="shared" si="9"/>
        <v>0.20200982983912588</v>
      </c>
      <c r="R196" s="135">
        <f t="shared" si="10"/>
        <v>0.79939357602813355</v>
      </c>
    </row>
    <row r="197" spans="10:18" x14ac:dyDescent="0.2">
      <c r="J197" s="142">
        <v>0.74</v>
      </c>
      <c r="K197" s="143">
        <f>IF(ISBLANK(Xbar_R!$D$2), Xbar_R!$F$2+(J197*Formulas!$C$15), Xbar_R!$D$2+(J197*Formulas!$C$15))</f>
        <v>7.32082580968759</v>
      </c>
      <c r="L197" s="143">
        <f>IF(ISBLANK(Xbar_R!$D$2), NORMDIST(K197, Xbar_R!$F$2, Formulas!$C$15, FALSE), NORMDIST(K197, Xbar_R!$D$2, Formulas!$C$15, FALSE))</f>
        <v>0.26981684525110239</v>
      </c>
      <c r="M197" s="143">
        <f t="shared" si="11"/>
        <v>0.60792614968391279</v>
      </c>
      <c r="N197" s="140">
        <f>+IF(K197&gt;=(Formulas!$D$4), M197, 0)</f>
        <v>0</v>
      </c>
      <c r="O197" s="147">
        <f>+IF(K197&lt;=(Formulas!$D$3), M197, 0)</f>
        <v>0</v>
      </c>
      <c r="P197" s="147">
        <f>NORMDIST(K197,Xbar_R!$I$2,Xbar_R!$K$2/3,FALSE)</f>
        <v>8.4068204852231959E-2</v>
      </c>
      <c r="Q197" s="140">
        <f t="shared" ref="Q197:Q260" si="12">100*(P197/$P$317)</f>
        <v>0.18905775952936688</v>
      </c>
      <c r="R197" s="135">
        <f t="shared" si="10"/>
        <v>0.79939357602813355</v>
      </c>
    </row>
    <row r="198" spans="10:18" x14ac:dyDescent="0.2">
      <c r="J198" s="142">
        <v>0.76</v>
      </c>
      <c r="K198" s="143">
        <f>IF(ISBLANK(Xbar_R!$D$2), Xbar_R!$F$2+(J198*Formulas!$C$15), Xbar_R!$D$2+(J198*Formulas!$C$15))</f>
        <v>7.3433143450845524</v>
      </c>
      <c r="L198" s="143">
        <f>IF(ISBLANK(Xbar_R!$D$2), NORMDIST(K198, Xbar_R!$F$2, Formulas!$C$15, FALSE), NORMDIST(K198, Xbar_R!$D$2, Formulas!$C$15, FALSE))</f>
        <v>0.26579979576289287</v>
      </c>
      <c r="M198" s="143">
        <f t="shared" si="11"/>
        <v>0.59887530845054104</v>
      </c>
      <c r="N198" s="140">
        <f>+IF(K198&gt;=(Formulas!$D$4), M198, 0)</f>
        <v>0</v>
      </c>
      <c r="O198" s="147">
        <f>+IF(K198&lt;=(Formulas!$D$3), M198, 0)</f>
        <v>0</v>
      </c>
      <c r="P198" s="147">
        <f>NORMDIST(K198,Xbar_R!$I$2,Xbar_R!$K$2/3,FALSE)</f>
        <v>7.8588607443423456E-2</v>
      </c>
      <c r="Q198" s="140">
        <f t="shared" si="12"/>
        <v>0.17673490321224694</v>
      </c>
      <c r="R198" s="135">
        <f t="shared" ref="R198:R261" si="13">+$R$4</f>
        <v>0.79939357602813355</v>
      </c>
    </row>
    <row r="199" spans="10:18" x14ac:dyDescent="0.2">
      <c r="J199" s="142">
        <v>0.78</v>
      </c>
      <c r="K199" s="143">
        <f>IF(ISBLANK(Xbar_R!$D$2), Xbar_R!$F$2+(J199*Formulas!$C$15), Xbar_R!$D$2+(J199*Formulas!$C$15))</f>
        <v>7.3658028804815139</v>
      </c>
      <c r="L199" s="143">
        <f>IF(ISBLANK(Xbar_R!$D$2), NORMDIST(K199, Xbar_R!$F$2, Formulas!$C$15, FALSE), NORMDIST(K199, Xbar_R!$D$2, Formulas!$C$15, FALSE))</f>
        <v>0.2617378362737528</v>
      </c>
      <c r="M199" s="143">
        <f t="shared" si="11"/>
        <v>0.58972328019186493</v>
      </c>
      <c r="N199" s="140">
        <f>+IF(K199&gt;=(Formulas!$D$4), M199, 0)</f>
        <v>0</v>
      </c>
      <c r="O199" s="147">
        <f>+IF(K199&lt;=(Formulas!$D$3), M199, 0)</f>
        <v>0</v>
      </c>
      <c r="P199" s="147">
        <f>NORMDIST(K199,Xbar_R!$I$2,Xbar_R!$K$2/3,FALSE)</f>
        <v>7.338262250757116E-2</v>
      </c>
      <c r="Q199" s="140">
        <f t="shared" si="12"/>
        <v>0.16502736348488067</v>
      </c>
      <c r="R199" s="135">
        <f t="shared" si="13"/>
        <v>0.79939357602813355</v>
      </c>
    </row>
    <row r="200" spans="10:18" x14ac:dyDescent="0.2">
      <c r="J200" s="142">
        <v>0.8</v>
      </c>
      <c r="K200" s="143">
        <f>IF(ISBLANK(Xbar_R!$D$2), Xbar_R!$F$2+(J200*Formulas!$C$15), Xbar_R!$D$2+(J200*Formulas!$C$15))</f>
        <v>7.3882914158784754</v>
      </c>
      <c r="L200" s="143">
        <f>IF(ISBLANK(Xbar_R!$D$2), NORMDIST(K200, Xbar_R!$F$2, Formulas!$C$15, FALSE), NORMDIST(K200, Xbar_R!$D$2, Formulas!$C$15, FALSE))</f>
        <v>0.25763487719224176</v>
      </c>
      <c r="M200" s="143">
        <f t="shared" si="11"/>
        <v>0.58047887547572363</v>
      </c>
      <c r="N200" s="140">
        <f>+IF(K200&gt;=(Formulas!$D$4), M200, 0)</f>
        <v>0</v>
      </c>
      <c r="O200" s="147">
        <f>+IF(K200&lt;=(Formulas!$D$3), M200, 0)</f>
        <v>0</v>
      </c>
      <c r="P200" s="147">
        <f>NORMDIST(K200,Xbar_R!$I$2,Xbar_R!$K$2/3,FALSE)</f>
        <v>6.8443573861372314E-2</v>
      </c>
      <c r="Q200" s="140">
        <f t="shared" si="12"/>
        <v>0.15392012653485659</v>
      </c>
      <c r="R200" s="135">
        <f t="shared" si="13"/>
        <v>0.79939357602813355</v>
      </c>
    </row>
    <row r="201" spans="10:18" x14ac:dyDescent="0.2">
      <c r="J201" s="142">
        <v>0.82</v>
      </c>
      <c r="K201" s="143">
        <f>IF(ISBLANK(Xbar_R!$D$2), Xbar_R!$F$2+(J201*Formulas!$C$15), Xbar_R!$D$2+(J201*Formulas!$C$15))</f>
        <v>7.4107799512754378</v>
      </c>
      <c r="L201" s="143">
        <f>IF(ISBLANK(Xbar_R!$D$2), NORMDIST(K201, Xbar_R!$F$2, Formulas!$C$15, FALSE), NORMDIST(K201, Xbar_R!$D$2, Formulas!$C$15, FALSE))</f>
        <v>0.25349481721029687</v>
      </c>
      <c r="M201" s="143">
        <f t="shared" si="11"/>
        <v>0.57115087847115587</v>
      </c>
      <c r="N201" s="140">
        <f>+IF(K201&gt;=(Formulas!$D$4), M201, 0)</f>
        <v>0</v>
      </c>
      <c r="O201" s="147">
        <f>+IF(K201&lt;=(Formulas!$D$3), M201, 0)</f>
        <v>0</v>
      </c>
      <c r="P201" s="147">
        <f>NORMDIST(K201,Xbar_R!$I$2,Xbar_R!$K$2/3,FALSE)</f>
        <v>6.3764351106491479E-2</v>
      </c>
      <c r="Q201" s="140">
        <f t="shared" si="12"/>
        <v>0.14339720206024037</v>
      </c>
      <c r="R201" s="135">
        <f t="shared" si="13"/>
        <v>0.79939357602813355</v>
      </c>
    </row>
    <row r="202" spans="10:18" x14ac:dyDescent="0.2">
      <c r="J202" s="142">
        <v>0.84</v>
      </c>
      <c r="K202" s="143">
        <f>IF(ISBLANK(Xbar_R!$D$2), Xbar_R!$F$2+(J202*Formulas!$C$15), Xbar_R!$D$2+(J202*Formulas!$C$15))</f>
        <v>7.4332684866723993</v>
      </c>
      <c r="L202" s="143">
        <f>IF(ISBLANK(Xbar_R!$D$2), NORMDIST(K202, Xbar_R!$F$2, Formulas!$C$15, FALSE), NORMDIST(K202, Xbar_R!$D$2, Formulas!$C$15, FALSE))</f>
        <v>0.24932153729984041</v>
      </c>
      <c r="M202" s="143">
        <f t="shared" si="11"/>
        <v>0.56174803342211554</v>
      </c>
      <c r="N202" s="140">
        <f>+IF(K202&gt;=(Formulas!$D$4), M202, 0)</f>
        <v>0</v>
      </c>
      <c r="O202" s="147">
        <f>+IF(K202&lt;=(Formulas!$D$3), M202, 0)</f>
        <v>0</v>
      </c>
      <c r="P202" s="147">
        <f>NORMDIST(K202,Xbar_R!$I$2,Xbar_R!$K$2/3,FALSE)</f>
        <v>5.9337470079605978E-2</v>
      </c>
      <c r="Q202" s="140">
        <f t="shared" si="12"/>
        <v>0.13344175921336227</v>
      </c>
      <c r="R202" s="135">
        <f t="shared" si="13"/>
        <v>0.79939357602813355</v>
      </c>
    </row>
    <row r="203" spans="10:18" x14ac:dyDescent="0.2">
      <c r="J203" s="142">
        <v>0.86</v>
      </c>
      <c r="K203" s="143">
        <f>IF(ISBLANK(Xbar_R!$D$2), Xbar_R!$F$2+(J203*Formulas!$C$15), Xbar_R!$D$2+(J203*Formulas!$C$15))</f>
        <v>7.4557570220693616</v>
      </c>
      <c r="L203" s="143">
        <f>IF(ISBLANK(Xbar_R!$D$2), NORMDIST(K203, Xbar_R!$F$2, Formulas!$C$15, FALSE), NORMDIST(K203, Xbar_R!$D$2, Formulas!$C$15, FALSE))</f>
        <v>0.24511889483980503</v>
      </c>
      <c r="M203" s="143">
        <f t="shared" si="11"/>
        <v>0.55227903141503265</v>
      </c>
      <c r="N203" s="140">
        <f>+IF(K203&gt;=(Formulas!$D$4), M203, 0)</f>
        <v>0</v>
      </c>
      <c r="O203" s="147">
        <f>+IF(K203&lt;=(Formulas!$D$3), M203, 0)</f>
        <v>0</v>
      </c>
      <c r="P203" s="147">
        <f>NORMDIST(K203,Xbar_R!$I$2,Xbar_R!$K$2/3,FALSE)</f>
        <v>5.5155131255101741E-2</v>
      </c>
      <c r="Q203" s="140">
        <f t="shared" si="12"/>
        <v>0.12403625794039837</v>
      </c>
      <c r="R203" s="135">
        <f t="shared" si="13"/>
        <v>0.79939357602813355</v>
      </c>
    </row>
    <row r="204" spans="10:18" x14ac:dyDescent="0.2">
      <c r="J204" s="142">
        <v>0.88</v>
      </c>
      <c r="K204" s="143">
        <f>IF(ISBLANK(Xbar_R!$D$2), Xbar_R!$F$2+(J204*Formulas!$C$15), Xbar_R!$D$2+(J204*Formulas!$C$15))</f>
        <v>7.4782455574663231</v>
      </c>
      <c r="L204" s="143">
        <f>IF(ISBLANK(Xbar_R!$D$2), NORMDIST(K204, Xbar_R!$F$2, Formulas!$C$15, FALSE), NORMDIST(K204, Xbar_R!$D$2, Formulas!$C$15, FALSE))</f>
        <v>0.24089071788546157</v>
      </c>
      <c r="M204" s="143">
        <f t="shared" si="11"/>
        <v>0.54275249746699783</v>
      </c>
      <c r="N204" s="140">
        <f>+IF(K204&gt;=(Formulas!$D$4), M204, 0)</f>
        <v>0</v>
      </c>
      <c r="O204" s="147">
        <f>+IF(K204&lt;=(Formulas!$D$3), M204, 0)</f>
        <v>0</v>
      </c>
      <c r="P204" s="147">
        <f>NORMDIST(K204,Xbar_R!$I$2,Xbar_R!$K$2/3,FALSE)</f>
        <v>5.1209275855834305E-2</v>
      </c>
      <c r="Q204" s="140">
        <f t="shared" si="12"/>
        <v>0.1151625751667076</v>
      </c>
      <c r="R204" s="135">
        <f t="shared" si="13"/>
        <v>0.79939357602813355</v>
      </c>
    </row>
    <row r="205" spans="10:18" x14ac:dyDescent="0.2">
      <c r="J205" s="142">
        <v>0.9</v>
      </c>
      <c r="K205" s="143">
        <f>IF(ISBLANK(Xbar_R!$D$2), Xbar_R!$F$2+(J205*Formulas!$C$15), Xbar_R!$D$2+(J205*Formulas!$C$15))</f>
        <v>7.5007340928632846</v>
      </c>
      <c r="L205" s="143">
        <f>IF(ISBLANK(Xbar_R!$D$2), NORMDIST(K205, Xbar_R!$F$2, Formulas!$C$15, FALSE), NORMDIST(K205, Xbar_R!$D$2, Formulas!$C$15, FALSE))</f>
        <v>0.23664079959133494</v>
      </c>
      <c r="M205" s="143">
        <f t="shared" si="11"/>
        <v>0.53317697795999608</v>
      </c>
      <c r="N205" s="140">
        <f>+IF(K205&gt;=(Formulas!$D$4), M205, 0)</f>
        <v>0</v>
      </c>
      <c r="O205" s="147">
        <f>+IF(K205&lt;=(Formulas!$D$3), M205, 0)</f>
        <v>0</v>
      </c>
      <c r="P205" s="147">
        <f>NORMDIST(K205,Xbar_R!$I$2,Xbar_R!$K$2/3,FALSE)</f>
        <v>4.7491639461795847E-2</v>
      </c>
      <c r="Q205" s="140">
        <f t="shared" si="12"/>
        <v>0.10680212535530563</v>
      </c>
      <c r="R205" s="135">
        <f t="shared" si="13"/>
        <v>0.79939357602813355</v>
      </c>
    </row>
    <row r="206" spans="10:18" x14ac:dyDescent="0.2">
      <c r="J206" s="142">
        <v>0.92</v>
      </c>
      <c r="K206" s="143">
        <f>IF(ISBLANK(Xbar_R!$D$2), Xbar_R!$F$2+(J206*Formulas!$C$15), Xbar_R!$D$2+(J206*Formulas!$C$15))</f>
        <v>7.523222628260247</v>
      </c>
      <c r="L206" s="143">
        <f>IF(ISBLANK(Xbar_R!$D$2), NORMDIST(K206, Xbar_R!$F$2, Formulas!$C$15, FALSE), NORMDIST(K206, Xbar_R!$D$2, Formulas!$C$15, FALSE))</f>
        <v>0.23237289279839179</v>
      </c>
      <c r="M206" s="143">
        <f t="shared" si="11"/>
        <v>0.52356092844526281</v>
      </c>
      <c r="N206" s="140">
        <f>+IF(K206&gt;=(Formulas!$D$4), M206, 0)</f>
        <v>0</v>
      </c>
      <c r="O206" s="147">
        <f>+IF(K206&lt;=(Formulas!$D$3), M206, 0)</f>
        <v>0</v>
      </c>
      <c r="P206" s="147">
        <f>NORMDIST(K206,Xbar_R!$I$2,Xbar_R!$K$2/3,FALSE)</f>
        <v>4.39938029404284E-2</v>
      </c>
      <c r="Q206" s="140">
        <f t="shared" si="12"/>
        <v>9.8935975042091617E-2</v>
      </c>
      <c r="R206" s="135">
        <f t="shared" si="13"/>
        <v>0.79939357602813355</v>
      </c>
    </row>
    <row r="207" spans="10:18" x14ac:dyDescent="0.2">
      <c r="J207" s="142">
        <v>0.94</v>
      </c>
      <c r="K207" s="143">
        <f>IF(ISBLANK(Xbar_R!$D$2), Xbar_R!$F$2+(J207*Formulas!$C$15), Xbar_R!$D$2+(J207*Formulas!$C$15))</f>
        <v>7.5457111636572094</v>
      </c>
      <c r="L207" s="143">
        <f>IF(ISBLANK(Xbar_R!$D$2), NORMDIST(K207, Xbar_R!$F$2, Formulas!$C$15, FALSE), NORMDIST(K207, Xbar_R!$D$2, Formulas!$C$15, FALSE))</f>
        <v>0.22809070479553648</v>
      </c>
      <c r="M207" s="143">
        <f t="shared" si="11"/>
        <v>0.51391270184037541</v>
      </c>
      <c r="N207" s="140">
        <f>+IF(K207&gt;=(Formulas!$D$4), M207, 0)</f>
        <v>0</v>
      </c>
      <c r="O207" s="147">
        <f>+IF(K207&lt;=(Formulas!$D$3), M207, 0)</f>
        <v>0</v>
      </c>
      <c r="P207" s="147">
        <f>NORMDIST(K207,Xbar_R!$I$2,Xbar_R!$K$2/3,FALSE)</f>
        <v>4.0707240555363379E-2</v>
      </c>
      <c r="Q207" s="140">
        <f t="shared" si="12"/>
        <v>9.154495102574628E-2</v>
      </c>
      <c r="R207" s="135">
        <f t="shared" si="13"/>
        <v>0.79939357602813355</v>
      </c>
    </row>
    <row r="208" spans="10:18" x14ac:dyDescent="0.2">
      <c r="J208" s="142">
        <v>0.96</v>
      </c>
      <c r="K208" s="143">
        <f>IF(ISBLANK(Xbar_R!$D$2), Xbar_R!$F$2+(J208*Formulas!$C$15), Xbar_R!$D$2+(J208*Formulas!$C$15))</f>
        <v>7.5681996990541709</v>
      </c>
      <c r="L208" s="143">
        <f>IF(ISBLANK(Xbar_R!$D$2), NORMDIST(K208, Xbar_R!$F$2, Formulas!$C$15, FALSE), NORMDIST(K208, Xbar_R!$D$2, Formulas!$C$15, FALSE))</f>
        <v>0.22379789226479668</v>
      </c>
      <c r="M208" s="143">
        <f t="shared" si="11"/>
        <v>0.50424053704021699</v>
      </c>
      <c r="N208" s="140">
        <f>+IF(K208&gt;=(Formulas!$D$4), M208, 0)</f>
        <v>0</v>
      </c>
      <c r="O208" s="147">
        <f>+IF(K208&lt;=(Formulas!$D$3), M208, 0)</f>
        <v>0</v>
      </c>
      <c r="P208" s="147">
        <f>NORMDIST(K208,Xbar_R!$I$2,Xbar_R!$K$2/3,FALSE)</f>
        <v>3.7623365142310447E-2</v>
      </c>
      <c r="Q208" s="140">
        <f t="shared" si="12"/>
        <v>8.4609741962054605E-2</v>
      </c>
      <c r="R208" s="135">
        <f t="shared" si="13"/>
        <v>0.79939357602813355</v>
      </c>
    </row>
    <row r="209" spans="10:18" x14ac:dyDescent="0.2">
      <c r="J209" s="142">
        <v>0.98</v>
      </c>
      <c r="K209" s="143">
        <f>IF(ISBLANK(Xbar_R!$D$2), Xbar_R!$F$2+(J209*Formulas!$C$15), Xbar_R!$D$2+(J209*Formulas!$C$15))</f>
        <v>7.5906882344511324</v>
      </c>
      <c r="L209" s="143">
        <f>IF(ISBLANK(Xbar_R!$D$2), NORMDIST(K209, Xbar_R!$F$2, Formulas!$C$15, FALSE), NORMDIST(K209, Xbar_R!$D$2, Formulas!$C$15, FALSE))</f>
        <v>0.21949805641890385</v>
      </c>
      <c r="M209" s="143">
        <f t="shared" si="11"/>
        <v>0.494552547961426</v>
      </c>
      <c r="N209" s="140">
        <f>+IF(K209&gt;=(Formulas!$D$4), M209, 0)</f>
        <v>0</v>
      </c>
      <c r="O209" s="147">
        <f>+IF(K209&lt;=(Formulas!$D$3), M209, 0)</f>
        <v>0</v>
      </c>
      <c r="P209" s="147">
        <f>NORMDIST(K209,Xbar_R!$I$2,Xbar_R!$K$2/3,FALSE)</f>
        <v>3.4733570271414722E-2</v>
      </c>
      <c r="Q209" s="140">
        <f t="shared" si="12"/>
        <v>7.8110993181212798E-2</v>
      </c>
      <c r="R209" s="135">
        <f t="shared" si="13"/>
        <v>0.79939357602813355</v>
      </c>
    </row>
    <row r="210" spans="10:18" x14ac:dyDescent="0.2">
      <c r="J210" s="142">
        <v>1</v>
      </c>
      <c r="K210" s="143">
        <f>IF(ISBLANK(Xbar_R!$D$2), Xbar_R!$F$2+(J210*Formulas!$C$15), Xbar_R!$D$2+(J210*Formulas!$C$15))</f>
        <v>7.6131767698480948</v>
      </c>
      <c r="L210" s="143">
        <f>IF(ISBLANK(Xbar_R!$D$2), NORMDIST(K210, Xbar_R!$F$2, Formulas!$C$15, FALSE), NORMDIST(K210, Xbar_R!$D$2, Formulas!$C$15, FALSE))</f>
        <v>0.21519473833928079</v>
      </c>
      <c r="M210" s="143">
        <f t="shared" si="11"/>
        <v>0.48485671303838496</v>
      </c>
      <c r="N210" s="140">
        <f>+IF(K210&gt;=(Formulas!$D$4), M210, 0)</f>
        <v>0</v>
      </c>
      <c r="O210" s="147">
        <f>+IF(K210&lt;=(Formulas!$D$3), M210, 0)</f>
        <v>0</v>
      </c>
      <c r="P210" s="147">
        <f>NORMDIST(K210,Xbar_R!$I$2,Xbar_R!$K$2/3,FALSE)</f>
        <v>3.2029269344452833E-2</v>
      </c>
      <c r="Q210" s="140">
        <f t="shared" si="12"/>
        <v>7.2029394612012104E-2</v>
      </c>
      <c r="R210" s="135">
        <f t="shared" si="13"/>
        <v>0.79939357602813355</v>
      </c>
    </row>
    <row r="211" spans="10:18" x14ac:dyDescent="0.2">
      <c r="J211" s="142">
        <v>1.02</v>
      </c>
      <c r="K211" s="143">
        <f>IF(ISBLANK(Xbar_R!$D$2), Xbar_R!$F$2+(J211*Formulas!$C$15), Xbar_R!$D$2+(J211*Formulas!$C$15))</f>
        <v>7.6356653052450563</v>
      </c>
      <c r="L211" s="143">
        <f>IF(ISBLANK(Xbar_R!$D$2), NORMDIST(K211, Xbar_R!$F$2, Formulas!$C$15, FALSE), NORMDIST(K211, Xbar_R!$D$2, Formulas!$C$15, FALSE))</f>
        <v>0.21089141452174365</v>
      </c>
      <c r="M211" s="143">
        <f t="shared" si="11"/>
        <v>0.47516086518721101</v>
      </c>
      <c r="N211" s="140">
        <f>+IF(K211&gt;=(Formulas!$D$4), M211, 0)</f>
        <v>0</v>
      </c>
      <c r="O211" s="147">
        <f>+IF(K211&lt;=(Formulas!$D$3), M211, 0)</f>
        <v>0</v>
      </c>
      <c r="P211" s="147">
        <f>NORMDIST(K211,Xbar_R!$I$2,Xbar_R!$K$2/3,FALSE)</f>
        <v>2.9501931602570738E-2</v>
      </c>
      <c r="Q211" s="140">
        <f t="shared" si="12"/>
        <v>6.6345761758258445E-2</v>
      </c>
      <c r="R211" s="135">
        <f t="shared" si="13"/>
        <v>0.79939357602813355</v>
      </c>
    </row>
    <row r="212" spans="10:18" x14ac:dyDescent="0.2">
      <c r="J212" s="142">
        <v>1.04</v>
      </c>
      <c r="K212" s="143">
        <f>IF(ISBLANK(Xbar_R!$D$2), Xbar_R!$F$2+(J212*Formulas!$C$15), Xbar_R!$D$2+(J212*Formulas!$C$15))</f>
        <v>7.6581538406420187</v>
      </c>
      <c r="L212" s="143">
        <f>IF(ISBLANK(Xbar_R!$D$2), NORMDIST(K212, Xbar_R!$F$2, Formulas!$C$15, FALSE), NORMDIST(K212, Xbar_R!$D$2, Formulas!$C$15, FALSE))</f>
        <v>0.20659149263650903</v>
      </c>
      <c r="M212" s="143">
        <f t="shared" si="11"/>
        <v>0.46547268225260008</v>
      </c>
      <c r="N212" s="140">
        <f>+IF(K212&gt;=(Formulas!$D$4), M212, 0)</f>
        <v>0</v>
      </c>
      <c r="O212" s="147">
        <f>+IF(K212&lt;=(Formulas!$D$3), M212, 0)</f>
        <v>0</v>
      </c>
      <c r="P212" s="147">
        <f>NORMDIST(K212,Xbar_R!$I$2,Xbar_R!$K$2/3,FALSE)</f>
        <v>2.7143115045742093E-2</v>
      </c>
      <c r="Q212" s="140">
        <f t="shared" si="12"/>
        <v>6.104110973007898E-2</v>
      </c>
      <c r="R212" s="135">
        <f t="shared" si="13"/>
        <v>0.79939357602813355</v>
      </c>
    </row>
    <row r="213" spans="10:18" x14ac:dyDescent="0.2">
      <c r="J213" s="142">
        <v>1.06</v>
      </c>
      <c r="K213" s="143">
        <f>IF(ISBLANK(Xbar_R!$D$2), Xbar_R!$F$2+(J213*Formulas!$C$15), Xbar_R!$D$2+(J213*Formulas!$C$15))</f>
        <v>7.6806423760389801</v>
      </c>
      <c r="L213" s="143">
        <f>IF(ISBLANK(Xbar_R!$D$2), NORMDIST(K213, Xbar_R!$F$2, Formulas!$C$15, FALSE), NORMDIST(K213, Xbar_R!$D$2, Formulas!$C$15, FALSE))</f>
        <v>0.20229830750838154</v>
      </c>
      <c r="M213" s="143">
        <f t="shared" si="11"/>
        <v>0.45579967795076026</v>
      </c>
      <c r="N213" s="140">
        <f>+IF(K213&gt;=(Formulas!$D$4), M213, 0)</f>
        <v>0</v>
      </c>
      <c r="O213" s="147">
        <f>+IF(K213&lt;=(Formulas!$D$3), M213, 0)</f>
        <v>0</v>
      </c>
      <c r="P213" s="147">
        <f>NORMDIST(K213,Xbar_R!$I$2,Xbar_R!$K$2/3,FALSE)</f>
        <v>2.4944496288641198E-2</v>
      </c>
      <c r="Q213" s="140">
        <f t="shared" si="12"/>
        <v>5.6096720385648953E-2</v>
      </c>
      <c r="R213" s="135">
        <f t="shared" si="13"/>
        <v>0.79939357602813355</v>
      </c>
    </row>
    <row r="214" spans="10:18" x14ac:dyDescent="0.2">
      <c r="J214" s="142">
        <v>1.08</v>
      </c>
      <c r="K214" s="143">
        <f>IF(ISBLANK(Xbar_R!$D$2), Xbar_R!$F$2+(J214*Formulas!$C$15), Xbar_R!$D$2+(J214*Formulas!$C$15))</f>
        <v>7.7031309114359416</v>
      </c>
      <c r="L214" s="143">
        <f>IF(ISBLANK(Xbar_R!$D$2), NORMDIST(K214, Xbar_R!$F$2, Formulas!$C$15, FALSE), NORMDIST(K214, Xbar_R!$D$2, Formulas!$C$15, FALSE))</f>
        <v>0.1980151173222609</v>
      </c>
      <c r="M214" s="143">
        <f t="shared" si="11"/>
        <v>0.44614919332001385</v>
      </c>
      <c r="N214" s="140">
        <f>+IF(K214&gt;=(Formulas!$D$4), M214, 0)</f>
        <v>0</v>
      </c>
      <c r="O214" s="147">
        <f>+IF(K214&lt;=(Formulas!$D$3), M214, 0)</f>
        <v>0</v>
      </c>
      <c r="P214" s="147">
        <f>NORMDIST(K214,Xbar_R!$I$2,Xbar_R!$K$2/3,FALSE)</f>
        <v>2.2897897399084627E-2</v>
      </c>
      <c r="Q214" s="140">
        <f t="shared" si="12"/>
        <v>5.1494202687133082E-2</v>
      </c>
      <c r="R214" s="135">
        <f t="shared" si="13"/>
        <v>0.79939357602813355</v>
      </c>
    </row>
    <row r="215" spans="10:18" x14ac:dyDescent="0.2">
      <c r="J215" s="142">
        <v>1.1000000000000001</v>
      </c>
      <c r="K215" s="143">
        <f>IF(ISBLANK(Xbar_R!$D$2), Xbar_R!$F$2+(J215*Formulas!$C$15), Xbar_R!$D$2+(J215*Formulas!$C$15))</f>
        <v>7.725619446832904</v>
      </c>
      <c r="L215" s="143">
        <f>IF(ISBLANK(Xbar_R!$D$2), NORMDIST(K215, Xbar_R!$F$2, Formulas!$C$15, FALSE), NORMDIST(K215, Xbar_R!$D$2, Formulas!$C$15, FALSE))</f>
        <v>0.19374510005838938</v>
      </c>
      <c r="M215" s="143">
        <f t="shared" si="11"/>
        <v>0.43652838868902999</v>
      </c>
      <c r="N215" s="140">
        <f>+IF(K215&gt;=(Formulas!$D$4), M215, 0)</f>
        <v>0</v>
      </c>
      <c r="O215" s="147">
        <f>+IF(K215&lt;=(Formulas!$D$3), M215, 0)</f>
        <v>0</v>
      </c>
      <c r="P215" s="147">
        <f>NORMDIST(K215,Xbar_R!$I$2,Xbar_R!$K$2/3,FALSE)</f>
        <v>2.0995309784572522E-2</v>
      </c>
      <c r="Q215" s="140">
        <f t="shared" si="12"/>
        <v>4.7215546418211546E-2</v>
      </c>
      <c r="R215" s="135">
        <f t="shared" si="13"/>
        <v>0.79939357602813355</v>
      </c>
    </row>
    <row r="216" spans="10:18" x14ac:dyDescent="0.2">
      <c r="J216" s="142">
        <v>1.1200000000000001</v>
      </c>
      <c r="K216" s="143">
        <f>IF(ISBLANK(Xbar_R!$D$2), Xbar_R!$F$2+(J216*Formulas!$C$15), Xbar_R!$D$2+(J216*Formulas!$C$15))</f>
        <v>7.7481079822298664</v>
      </c>
      <c r="L216" s="143">
        <f>IF(ISBLANK(Xbar_R!$D$2), NORMDIST(K216, Xbar_R!$F$2, Formulas!$C$15, FALSE), NORMDIST(K216, Xbar_R!$D$2, Formulas!$C$15, FALSE))</f>
        <v>0.18949135016102703</v>
      </c>
      <c r="M216" s="143">
        <f t="shared" si="11"/>
        <v>0.42694423617099414</v>
      </c>
      <c r="N216" s="140">
        <f>+IF(K216&gt;=(Formulas!$D$4), M216, 0)</f>
        <v>0</v>
      </c>
      <c r="O216" s="147">
        <f>+IF(K216&lt;=(Formulas!$D$3), M216, 0)</f>
        <v>0</v>
      </c>
      <c r="P216" s="147">
        <f>NORMDIST(K216,Xbar_R!$I$2,Xbar_R!$K$2/3,FALSE)</f>
        <v>1.9228915209708229E-2</v>
      </c>
      <c r="Q216" s="140">
        <f t="shared" si="12"/>
        <v>4.3243169449348445E-2</v>
      </c>
      <c r="R216" s="135">
        <f t="shared" si="13"/>
        <v>0.79939357602813355</v>
      </c>
    </row>
    <row r="217" spans="10:18" x14ac:dyDescent="0.2">
      <c r="J217" s="142">
        <v>1.1399999999999999</v>
      </c>
      <c r="K217" s="143">
        <f>IF(ISBLANK(Xbar_R!$D$2), Xbar_R!$F$2+(J217*Formulas!$C$15), Xbar_R!$D$2+(J217*Formulas!$C$15))</f>
        <v>7.7705965176268279</v>
      </c>
      <c r="L217" s="143">
        <f>IF(ISBLANK(Xbar_R!$D$2), NORMDIST(K217, Xbar_R!$F$2, Formulas!$C$15, FALSE), NORMDIST(K217, Xbar_R!$D$2, Formulas!$C$15, FALSE))</f>
        <v>0.18525687544352037</v>
      </c>
      <c r="M217" s="143">
        <f t="shared" si="11"/>
        <v>0.41740351269039755</v>
      </c>
      <c r="N217" s="140">
        <f>+IF(K217&gt;=(Formulas!$D$4), M217, 0)</f>
        <v>0</v>
      </c>
      <c r="O217" s="147">
        <f>+IF(K217&lt;=(Formulas!$D$3), M217, 0)</f>
        <v>0</v>
      </c>
      <c r="P217" s="147">
        <f>NORMDIST(K217,Xbar_R!$I$2,Xbar_R!$K$2/3,FALSE)</f>
        <v>1.7591104042410505E-2</v>
      </c>
      <c r="Q217" s="140">
        <f t="shared" si="12"/>
        <v>3.9559958770998105E-2</v>
      </c>
      <c r="R217" s="135">
        <f t="shared" si="13"/>
        <v>0.79939357602813355</v>
      </c>
    </row>
    <row r="218" spans="10:18" x14ac:dyDescent="0.2">
      <c r="J218" s="142">
        <v>1.1599999999999999</v>
      </c>
      <c r="K218" s="143">
        <f>IF(ISBLANK(Xbar_R!$D$2), Xbar_R!$F$2+(J218*Formulas!$C$15), Xbar_R!$D$2+(J218*Formulas!$C$15))</f>
        <v>7.7930850530237894</v>
      </c>
      <c r="L218" s="143">
        <f>IF(ISBLANK(Xbar_R!$D$2), NORMDIST(K218, Xbar_R!$F$2, Formulas!$C$15, FALSE), NORMDIST(K218, Xbar_R!$D$2, Formulas!$C$15, FALSE))</f>
        <v>0.18104459423201136</v>
      </c>
      <c r="M218" s="143">
        <f t="shared" si="11"/>
        <v>0.40791279354750853</v>
      </c>
      <c r="N218" s="140">
        <f>+IF(K218&gt;=(Formulas!$D$4), M218, 0)</f>
        <v>0</v>
      </c>
      <c r="O218" s="147">
        <f>+IF(K218&lt;=(Formulas!$D$3), M218, 0)</f>
        <v>0</v>
      </c>
      <c r="P218" s="147">
        <f>NORMDIST(K218,Xbar_R!$I$2,Xbar_R!$K$2/3,FALSE)</f>
        <v>1.6074490839872706E-2</v>
      </c>
      <c r="Q218" s="140">
        <f t="shared" si="12"/>
        <v>3.6149305544270594E-2</v>
      </c>
      <c r="R218" s="135">
        <f t="shared" si="13"/>
        <v>0.79939357602813355</v>
      </c>
    </row>
    <row r="219" spans="10:18" x14ac:dyDescent="0.2">
      <c r="J219" s="142">
        <v>1.18</v>
      </c>
      <c r="K219" s="143">
        <f>IF(ISBLANK(Xbar_R!$D$2), Xbar_R!$F$2+(J219*Formulas!$C$15), Xbar_R!$D$2+(J219*Formulas!$C$15))</f>
        <v>7.8155735884207509</v>
      </c>
      <c r="L219" s="143">
        <f>IF(ISBLANK(Xbar_R!$D$2), NORMDIST(K219, Xbar_R!$F$2, Formulas!$C$15, FALSE), NORMDIST(K219, Xbar_R!$D$2, Formulas!$C$15, FALSE))</f>
        <v>0.17685733274932763</v>
      </c>
      <c r="M219" s="143">
        <f t="shared" si="11"/>
        <v>0.39847844652399828</v>
      </c>
      <c r="N219" s="140">
        <f>+IF(K219&gt;=(Formulas!$D$4), M219, 0)</f>
        <v>0</v>
      </c>
      <c r="O219" s="147">
        <f>+IF(K219&lt;=(Formulas!$D$3), M219, 0)</f>
        <v>0</v>
      </c>
      <c r="P219" s="147">
        <f>NORMDIST(K219,Xbar_R!$I$2,Xbar_R!$K$2/3,FALSE)</f>
        <v>1.4671927396215218E-2</v>
      </c>
      <c r="Q219" s="140">
        <f t="shared" si="12"/>
        <v>3.2995134443296527E-2</v>
      </c>
      <c r="R219" s="135">
        <f t="shared" si="13"/>
        <v>0.79939357602813355</v>
      </c>
    </row>
    <row r="220" spans="10:18" x14ac:dyDescent="0.2">
      <c r="J220" s="142">
        <v>1.2</v>
      </c>
      <c r="K220" s="143">
        <f>IF(ISBLANK(Xbar_R!$D$2), Xbar_R!$F$2+(J220*Formulas!$C$15), Xbar_R!$D$2+(J220*Formulas!$C$15))</f>
        <v>7.8380621238177133</v>
      </c>
      <c r="L220" s="143">
        <f>IF(ISBLANK(Xbar_R!$D$2), NORMDIST(K220, Xbar_R!$F$2, Formulas!$C$15, FALSE), NORMDIST(K220, Xbar_R!$D$2, Formulas!$C$15, FALSE))</f>
        <v>0.17269782273988976</v>
      </c>
      <c r="M220" s="143">
        <f t="shared" si="11"/>
        <v>0.38910662653160316</v>
      </c>
      <c r="N220" s="140">
        <f>+IF(K220&gt;=(Formulas!$D$4), M220, 0)</f>
        <v>0</v>
      </c>
      <c r="O220" s="147">
        <f>+IF(K220&lt;=(Formulas!$D$3), M220, 0)</f>
        <v>0</v>
      </c>
      <c r="P220" s="147">
        <f>NORMDIST(K220,Xbar_R!$I$2,Xbar_R!$K$2/3,FALSE)</f>
        <v>1.3376513382782862E-2</v>
      </c>
      <c r="Q220" s="140">
        <f t="shared" si="12"/>
        <v>3.0081927583783523E-2</v>
      </c>
      <c r="R220" s="135">
        <f t="shared" si="13"/>
        <v>0.79939357602813355</v>
      </c>
    </row>
    <row r="221" spans="10:18" x14ac:dyDescent="0.2">
      <c r="J221" s="142">
        <v>1.22</v>
      </c>
      <c r="K221" s="143">
        <f>IF(ISBLANK(Xbar_R!$D$2), Xbar_R!$F$2+(J221*Formulas!$C$15), Xbar_R!$D$2+(J221*Formulas!$C$15))</f>
        <v>7.8605506592146757</v>
      </c>
      <c r="L221" s="143">
        <f>IF(ISBLANK(Xbar_R!$D$2), NORMDIST(K221, Xbar_R!$F$2, Formulas!$C$15, FALSE), NORMDIST(K221, Xbar_R!$D$2, Formulas!$C$15, FALSE))</f>
        <v>0.16856869933579285</v>
      </c>
      <c r="M221" s="143">
        <f t="shared" si="11"/>
        <v>0.37980327080417897</v>
      </c>
      <c r="N221" s="140">
        <f>+IF(K221&gt;=(Formulas!$D$4), M221, 0)</f>
        <v>0</v>
      </c>
      <c r="O221" s="147">
        <f>+IF(K221&lt;=(Formulas!$D$3), M221, 0)</f>
        <v>0</v>
      </c>
      <c r="P221" s="147">
        <f>NORMDIST(K221,Xbar_R!$I$2,Xbar_R!$K$2/3,FALSE)</f>
        <v>1.2181604719141287E-2</v>
      </c>
      <c r="Q221" s="140">
        <f t="shared" si="12"/>
        <v>2.7394743348228758E-2</v>
      </c>
      <c r="R221" s="135">
        <f t="shared" si="13"/>
        <v>0.79939357602813355</v>
      </c>
    </row>
    <row r="222" spans="10:18" x14ac:dyDescent="0.2">
      <c r="J222" s="142">
        <v>1.24</v>
      </c>
      <c r="K222" s="143">
        <f>IF(ISBLANK(Xbar_R!$D$2), Xbar_R!$F$2+(J222*Formulas!$C$15), Xbar_R!$D$2+(J222*Formulas!$C$15))</f>
        <v>7.8830391946116372</v>
      </c>
      <c r="L222" s="143">
        <f>IF(ISBLANK(Xbar_R!$D$2), NORMDIST(K222, Xbar_R!$F$2, Formulas!$C$15, FALSE), NORMDIST(K222, Xbar_R!$D$2, Formulas!$C$15, FALSE))</f>
        <v>0.16447249916354237</v>
      </c>
      <c r="M222" s="143">
        <f t="shared" si="11"/>
        <v>0.37057409463197466</v>
      </c>
      <c r="N222" s="140">
        <f>+IF(K222&gt;=(Formulas!$D$4), M222, 0)</f>
        <v>0</v>
      </c>
      <c r="O222" s="147">
        <f>+IF(K222&lt;=(Formulas!$D$3), M222, 0)</f>
        <v>0</v>
      </c>
      <c r="P222" s="147">
        <f>NORMDIST(K222,Xbar_R!$I$2,Xbar_R!$K$2/3,FALSE)</f>
        <v>1.1080819818114715E-2</v>
      </c>
      <c r="Q222" s="140">
        <f t="shared" si="12"/>
        <v>2.4919230430144674E-2</v>
      </c>
      <c r="R222" s="135">
        <f t="shared" si="13"/>
        <v>0.79939357602813355</v>
      </c>
    </row>
    <row r="223" spans="10:18" x14ac:dyDescent="0.2">
      <c r="J223" s="142">
        <v>1.26</v>
      </c>
      <c r="K223" s="143">
        <f>IF(ISBLANK(Xbar_R!$D$2), Xbar_R!$F$2+(J223*Formulas!$C$15), Xbar_R!$D$2+(J223*Formulas!$C$15))</f>
        <v>7.9055277300085987</v>
      </c>
      <c r="L223" s="143">
        <f>IF(ISBLANK(Xbar_R!$D$2), NORMDIST(K223, Xbar_R!$F$2, Formulas!$C$15, FALSE), NORMDIST(K223, Xbar_R!$D$2, Formulas!$C$15, FALSE))</f>
        <v>0.16041165869027457</v>
      </c>
      <c r="M223" s="143">
        <f t="shared" si="11"/>
        <v>0.36142458763549035</v>
      </c>
      <c r="N223" s="140">
        <f>+IF(K223&gt;=(Formulas!$D$4), M223, 0)</f>
        <v>0</v>
      </c>
      <c r="O223" s="147">
        <f>+IF(K223&lt;=(Formulas!$D$3), M223, 0)</f>
        <v>0</v>
      </c>
      <c r="P223" s="147">
        <f>NORMDIST(K223,Xbar_R!$I$2,Xbar_R!$K$2/3,FALSE)</f>
        <v>1.0068043851791737E-2</v>
      </c>
      <c r="Q223" s="140">
        <f t="shared" si="12"/>
        <v>2.2641637427715668E-2</v>
      </c>
      <c r="R223" s="135">
        <f t="shared" si="13"/>
        <v>0.79939357602813355</v>
      </c>
    </row>
    <row r="224" spans="10:18" x14ac:dyDescent="0.2">
      <c r="J224" s="142">
        <v>1.28</v>
      </c>
      <c r="K224" s="143">
        <f>IF(ISBLANK(Xbar_R!$D$2), Xbar_R!$F$2+(J224*Formulas!$C$15), Xbar_R!$D$2+(J224*Formulas!$C$15))</f>
        <v>7.928016265405561</v>
      </c>
      <c r="L224" s="143">
        <f>IF(ISBLANK(Xbar_R!$D$2), NORMDIST(K224, Xbar_R!$F$2, Formulas!$C$15, FALSE), NORMDIST(K224, Xbar_R!$D$2, Formulas!$C$15, FALSE))</f>
        <v>0.15638851280765817</v>
      </c>
      <c r="M224" s="143">
        <f t="shared" si="11"/>
        <v>0.35236001057485672</v>
      </c>
      <c r="N224" s="140">
        <f>+IF(K224&gt;=(Formulas!$D$4), M224, 0)</f>
        <v>0</v>
      </c>
      <c r="O224" s="147">
        <f>+IF(K224&lt;=(Formulas!$D$3), M224, 0)</f>
        <v>0</v>
      </c>
      <c r="P224" s="147">
        <f>NORMDIST(K224,Xbar_R!$I$2,Xbar_R!$K$2/3,FALSE)</f>
        <v>9.137431187416712E-3</v>
      </c>
      <c r="Q224" s="140">
        <f t="shared" si="12"/>
        <v>2.0548818321780803E-2</v>
      </c>
      <c r="R224" s="135">
        <f t="shared" si="13"/>
        <v>0.79939357602813355</v>
      </c>
    </row>
    <row r="225" spans="10:18" x14ac:dyDescent="0.2">
      <c r="J225" s="142">
        <v>1.3</v>
      </c>
      <c r="K225" s="143">
        <f>IF(ISBLANK(Xbar_R!$D$2), Xbar_R!$F$2+(J225*Formulas!$C$15), Xbar_R!$D$2+(J225*Formulas!$C$15))</f>
        <v>7.9505048008025225</v>
      </c>
      <c r="L225" s="143">
        <f>IF(ISBLANK(Xbar_R!$D$2), NORMDIST(K225, Xbar_R!$F$2, Formulas!$C$15, FALSE), NORMDIST(K225, Xbar_R!$D$2, Formulas!$C$15, FALSE))</f>
        <v>0.15240529365105623</v>
      </c>
      <c r="M225" s="143">
        <f t="shared" si="11"/>
        <v>0.34338539268928081</v>
      </c>
      <c r="N225" s="140">
        <f>+IF(K225&gt;=(Formulas!$D$4), M225, 0)</f>
        <v>0</v>
      </c>
      <c r="O225" s="147">
        <f>+IF(K225&lt;=(Formulas!$D$3), M225, 0)</f>
        <v>0</v>
      </c>
      <c r="P225" s="147">
        <f>NORMDIST(K225,Xbar_R!$I$2,Xbar_R!$K$2/3,FALSE)</f>
        <v>8.2834061426060104E-3</v>
      </c>
      <c r="Q225" s="140">
        <f t="shared" si="12"/>
        <v>1.8628234174210632E-2</v>
      </c>
      <c r="R225" s="135">
        <f t="shared" si="13"/>
        <v>0.79939357602813355</v>
      </c>
    </row>
    <row r="226" spans="10:18" x14ac:dyDescent="0.2">
      <c r="J226" s="142">
        <v>1.32</v>
      </c>
      <c r="K226" s="143">
        <f>IF(ISBLANK(Xbar_R!$D$2), Xbar_R!$F$2+(J226*Formulas!$C$15), Xbar_R!$D$2+(J226*Formulas!$C$15))</f>
        <v>7.9729933361994849</v>
      </c>
      <c r="L226" s="143">
        <f>IF(ISBLANK(Xbar_R!$D$2), NORMDIST(K226, Xbar_R!$F$2, Formulas!$C$15, FALSE), NORMDIST(K226, Xbar_R!$D$2, Formulas!$C$15, FALSE))</f>
        <v>0.14846412965093878</v>
      </c>
      <c r="M226" s="143">
        <f t="shared" si="11"/>
        <v>0.33450552955977708</v>
      </c>
      <c r="N226" s="140">
        <f>+IF(K226&gt;=(Formulas!$D$4), M226, 0)</f>
        <v>0</v>
      </c>
      <c r="O226" s="147">
        <f>+IF(K226&lt;=(Formulas!$D$3), M226, 0)</f>
        <v>0</v>
      </c>
      <c r="P226" s="147">
        <f>NORMDIST(K226,Xbar_R!$I$2,Xbar_R!$K$2/3,FALSE)</f>
        <v>7.5006622085067795E-3</v>
      </c>
      <c r="Q226" s="140">
        <f t="shared" si="12"/>
        <v>1.6867951380898742E-2</v>
      </c>
      <c r="R226" s="135">
        <f t="shared" si="13"/>
        <v>0.79939357602813355</v>
      </c>
    </row>
    <row r="227" spans="10:18" x14ac:dyDescent="0.2">
      <c r="J227" s="142">
        <v>1.34</v>
      </c>
      <c r="K227" s="143">
        <f>IF(ISBLANK(Xbar_R!$D$2), Xbar_R!$F$2+(J227*Formulas!$C$15), Xbar_R!$D$2+(J227*Formulas!$C$15))</f>
        <v>7.9954818715964464</v>
      </c>
      <c r="L227" s="143">
        <f>IF(ISBLANK(Xbar_R!$D$2), NORMDIST(K227, Xbar_R!$F$2, Formulas!$C$15, FALSE), NORMDIST(K227, Xbar_R!$D$2, Formulas!$C$15, FALSE))</f>
        <v>0.14456704481297147</v>
      </c>
      <c r="M227" s="143">
        <f t="shared" si="11"/>
        <v>0.32572498148713103</v>
      </c>
      <c r="N227" s="140">
        <f>+IF(K227&gt;=(Formulas!$D$4), M227, 0)</f>
        <v>0</v>
      </c>
      <c r="O227" s="147">
        <f>+IF(K227&lt;=(Formulas!$D$3), M227, 0)</f>
        <v>0</v>
      </c>
      <c r="P227" s="147">
        <f>NORMDIST(K227,Xbar_R!$I$2,Xbar_R!$K$2/3,FALSE)</f>
        <v>6.784159887482483E-3</v>
      </c>
      <c r="Q227" s="140">
        <f t="shared" si="12"/>
        <v>1.5256636809015766E-2</v>
      </c>
      <c r="R227" s="135">
        <f t="shared" si="13"/>
        <v>0.79939357602813355</v>
      </c>
    </row>
    <row r="228" spans="10:18" x14ac:dyDescent="0.2">
      <c r="J228" s="142">
        <v>1.36</v>
      </c>
      <c r="K228" s="143">
        <f>IF(ISBLANK(Xbar_R!$D$2), Xbar_R!$F$2+(J228*Formulas!$C$15), Xbar_R!$D$2+(J228*Formulas!$C$15))</f>
        <v>8.0179704069934079</v>
      </c>
      <c r="L228" s="143">
        <f>IF(ISBLANK(Xbar_R!$D$2), NORMDIST(K228, Xbar_R!$F$2, Formulas!$C$15, FALSE), NORMDIST(K228, Xbar_R!$D$2, Formulas!$C$15, FALSE))</f>
        <v>0.14071595822265842</v>
      </c>
      <c r="M228" s="143">
        <f t="shared" si="11"/>
        <v>0.31704807237580562</v>
      </c>
      <c r="N228" s="140">
        <f>+IF(K228&gt;=(Formulas!$D$4), M228, 0)</f>
        <v>0.31704807237580562</v>
      </c>
      <c r="O228" s="147">
        <f>+IF(K228&lt;=(Formulas!$D$3), M228, 0)</f>
        <v>0</v>
      </c>
      <c r="P228" s="147">
        <f>NORMDIST(K228,Xbar_R!$I$2,Xbar_R!$K$2/3,FALSE)</f>
        <v>6.1291232887916844E-3</v>
      </c>
      <c r="Q228" s="140">
        <f t="shared" si="12"/>
        <v>1.3783550141162034E-2</v>
      </c>
      <c r="R228" s="135">
        <f t="shared" si="13"/>
        <v>0.79939357602813355</v>
      </c>
    </row>
    <row r="229" spans="10:18" x14ac:dyDescent="0.2">
      <c r="J229" s="142">
        <v>1.38</v>
      </c>
      <c r="K229" s="143">
        <f>IF(ISBLANK(Xbar_R!$D$2), Xbar_R!$F$2+(J229*Formulas!$C$15), Xbar_R!$D$2+(J229*Formulas!$C$15))</f>
        <v>8.0404589423903694</v>
      </c>
      <c r="L229" s="143">
        <f>IF(ISBLANK(Xbar_R!$D$2), NORMDIST(K229, Xbar_R!$F$2, Formulas!$C$15, FALSE), NORMDIST(K229, Xbar_R!$D$2, Formulas!$C$15, FALSE))</f>
        <v>0.13691268376991034</v>
      </c>
      <c r="M229" s="143">
        <f t="shared" si="11"/>
        <v>0.30847888911336485</v>
      </c>
      <c r="N229" s="140">
        <f>+IF(K229&gt;=(Formulas!$D$4), M229, 0)</f>
        <v>0.30847888911336485</v>
      </c>
      <c r="O229" s="147">
        <f>+IF(K229&lt;=(Formulas!$D$3), M229, 0)</f>
        <v>0</v>
      </c>
      <c r="P229" s="147">
        <f>NORMDIST(K229,Xbar_R!$I$2,Xbar_R!$K$2/3,FALSE)</f>
        <v>5.5310356216610205E-3</v>
      </c>
      <c r="Q229" s="140">
        <f t="shared" si="12"/>
        <v>1.2438533739912364E-2</v>
      </c>
      <c r="R229" s="135">
        <f t="shared" si="13"/>
        <v>0.79939357602813355</v>
      </c>
    </row>
    <row r="230" spans="10:18" x14ac:dyDescent="0.2">
      <c r="J230" s="142">
        <v>1.4</v>
      </c>
      <c r="K230" s="143">
        <f>IF(ISBLANK(Xbar_R!$D$2), Xbar_R!$F$2+(J230*Formulas!$C$15), Xbar_R!$D$2+(J230*Formulas!$C$15))</f>
        <v>8.0629474777873327</v>
      </c>
      <c r="L230" s="143">
        <f>IF(ISBLANK(Xbar_R!$D$2), NORMDIST(K230, Xbar_R!$F$2, Formulas!$C$15, FALSE), NORMDIST(K230, Xbar_R!$D$2, Formulas!$C$15, FALSE))</f>
        <v>0.13315893008841512</v>
      </c>
      <c r="M230" s="143">
        <f t="shared" si="11"/>
        <v>0.30002128143386847</v>
      </c>
      <c r="N230" s="140">
        <f>+IF(K230&gt;=(Formulas!$D$4), M230, 0)</f>
        <v>0.30002128143386847</v>
      </c>
      <c r="O230" s="147">
        <f>+IF(K230&lt;=(Formulas!$D$3), M230, 0)</f>
        <v>0</v>
      </c>
      <c r="P230" s="147">
        <f>NORMDIST(K230,Xbar_R!$I$2,Xbar_R!$K$2/3,FALSE)</f>
        <v>4.9856337202626791E-3</v>
      </c>
      <c r="Q230" s="140">
        <f t="shared" si="12"/>
        <v>1.1212000335248025E-2</v>
      </c>
      <c r="R230" s="135">
        <f t="shared" si="13"/>
        <v>0.79939357602813355</v>
      </c>
    </row>
    <row r="231" spans="10:18" x14ac:dyDescent="0.2">
      <c r="J231" s="142">
        <v>1.42</v>
      </c>
      <c r="K231" s="143">
        <f>IF(ISBLANK(Xbar_R!$D$2), Xbar_R!$F$2+(J231*Formulas!$C$15), Xbar_R!$D$2+(J231*Formulas!$C$15))</f>
        <v>8.0854360131842942</v>
      </c>
      <c r="L231" s="143">
        <f>IF(ISBLANK(Xbar_R!$D$2), NORMDIST(K231, Xbar_R!$F$2, Formulas!$C$15, FALSE), NORMDIST(K231, Xbar_R!$D$2, Formulas!$C$15, FALSE))</f>
        <v>0.12945630070423594</v>
      </c>
      <c r="M231" s="143">
        <f t="shared" si="11"/>
        <v>0.29167886225267997</v>
      </c>
      <c r="N231" s="140">
        <f>+IF(K231&gt;=(Formulas!$D$4), M231, 0)</f>
        <v>0.29167886225267997</v>
      </c>
      <c r="O231" s="147">
        <f>+IF(K231&lt;=(Formulas!$D$3), M231, 0)</f>
        <v>0</v>
      </c>
      <c r="P231" s="147">
        <f>NORMDIST(K231,Xbar_R!$I$2,Xbar_R!$K$2/3,FALSE)</f>
        <v>4.4889017295220096E-3</v>
      </c>
      <c r="Q231" s="140">
        <f t="shared" si="12"/>
        <v>1.00949188248118E-2</v>
      </c>
      <c r="R231" s="135">
        <f t="shared" si="13"/>
        <v>0.79939357602813355</v>
      </c>
    </row>
    <row r="232" spans="10:18" x14ac:dyDescent="0.2">
      <c r="J232" s="142">
        <v>1.44</v>
      </c>
      <c r="K232" s="143">
        <f>IF(ISBLANK(Xbar_R!$D$2), Xbar_R!$F$2+(J232*Formulas!$C$15), Xbar_R!$D$2+(J232*Formulas!$C$15))</f>
        <v>8.1079245485812557</v>
      </c>
      <c r="L232" s="143">
        <f>IF(ISBLANK(Xbar_R!$D$2), NORMDIST(K232, Xbar_R!$F$2, Formulas!$C$15, FALSE), NORMDIST(K232, Xbar_R!$D$2, Formulas!$C$15, FALSE))</f>
        <v>0.12580629438762791</v>
      </c>
      <c r="M232" s="143">
        <f t="shared" si="11"/>
        <v>0.28345500845914662</v>
      </c>
      <c r="N232" s="140">
        <f>+IF(K232&gt;=(Formulas!$D$4), M232, 0)</f>
        <v>0.28345500845914662</v>
      </c>
      <c r="O232" s="147">
        <f>+IF(K232&lt;=(Formulas!$D$3), M232, 0)</f>
        <v>0</v>
      </c>
      <c r="P232" s="147">
        <f>NORMDIST(K232,Xbar_R!$I$2,Xbar_R!$K$2/3,FALSE)</f>
        <v>4.0370640745185865E-3</v>
      </c>
      <c r="Q232" s="140">
        <f t="shared" si="12"/>
        <v>9.0787984630638571E-3</v>
      </c>
      <c r="R232" s="135">
        <f t="shared" si="13"/>
        <v>0.79939357602813355</v>
      </c>
    </row>
    <row r="233" spans="10:18" x14ac:dyDescent="0.2">
      <c r="J233" s="142">
        <v>1.46</v>
      </c>
      <c r="K233" s="143">
        <f>IF(ISBLANK(Xbar_R!$D$2), Xbar_R!$F$2+(J233*Formulas!$C$15), Xbar_R!$D$2+(J233*Formulas!$C$15))</f>
        <v>8.1304130839782172</v>
      </c>
      <c r="L233" s="143">
        <f>IF(ISBLANK(Xbar_R!$D$2), NORMDIST(K233, Xbar_R!$F$2, Formulas!$C$15, FALSE), NORMDIST(K233, Xbar_R!$D$2, Formulas!$C$15, FALSE))</f>
        <v>0.12221030570167445</v>
      </c>
      <c r="M233" s="143">
        <f t="shared" si="11"/>
        <v>0.27535286215273597</v>
      </c>
      <c r="N233" s="140">
        <f>+IF(K233&gt;=(Formulas!$D$4), M233, 0)</f>
        <v>0.27535286215273597</v>
      </c>
      <c r="O233" s="147">
        <f>+IF(K233&lt;=(Formulas!$D$3), M233, 0)</f>
        <v>0</v>
      </c>
      <c r="P233" s="147">
        <f>NORMDIST(K233,Xbar_R!$I$2,Xbar_R!$K$2/3,FALSE)</f>
        <v>3.6265778296249961E-3</v>
      </c>
      <c r="Q233" s="140">
        <f t="shared" si="12"/>
        <v>8.1556717005308189E-3</v>
      </c>
      <c r="R233" s="135">
        <f t="shared" si="13"/>
        <v>0.79939357602813355</v>
      </c>
    </row>
    <row r="234" spans="10:18" x14ac:dyDescent="0.2">
      <c r="J234" s="142">
        <v>1.48</v>
      </c>
      <c r="K234" s="143">
        <f>IF(ISBLANK(Xbar_R!$D$2), Xbar_R!$F$2+(J234*Formulas!$C$15), Xbar_R!$D$2+(J234*Formulas!$C$15))</f>
        <v>8.1529016193751804</v>
      </c>
      <c r="L234" s="143">
        <f>IF(ISBLANK(Xbar_R!$D$2), NORMDIST(K234, Xbar_R!$F$2, Formulas!$C$15, FALSE), NORMDIST(K234, Xbar_R!$D$2, Formulas!$C$15, FALSE))</f>
        <v>0.11866962574097091</v>
      </c>
      <c r="M234" s="143">
        <f t="shared" si="11"/>
        <v>0.26737533230736876</v>
      </c>
      <c r="N234" s="140">
        <f>+IF(K234&gt;=(Formulas!$D$4), M234, 0)</f>
        <v>0.26737533230736876</v>
      </c>
      <c r="O234" s="147">
        <f>+IF(K234&lt;=(Formulas!$D$3), M234, 0)</f>
        <v>0</v>
      </c>
      <c r="P234" s="147">
        <f>NORMDIST(K234,Xbar_R!$I$2,Xbar_R!$K$2/3,FALSE)</f>
        <v>3.2541245965549419E-3</v>
      </c>
      <c r="Q234" s="140">
        <f t="shared" si="12"/>
        <v>7.3180759186598542E-3</v>
      </c>
      <c r="R234" s="135">
        <f t="shared" si="13"/>
        <v>0.79939357602813355</v>
      </c>
    </row>
    <row r="235" spans="10:18" x14ac:dyDescent="0.2">
      <c r="J235" s="142">
        <v>1.5</v>
      </c>
      <c r="K235" s="143">
        <f>IF(ISBLANK(Xbar_R!$D$2), Xbar_R!$F$2+(J235*Formulas!$C$15), Xbar_R!$D$2+(J235*Formulas!$C$15))</f>
        <v>8.1753901547721419</v>
      </c>
      <c r="L235" s="143">
        <f>IF(ISBLANK(Xbar_R!$D$2), NORMDIST(K235, Xbar_R!$F$2, Formulas!$C$15, FALSE), NORMDIST(K235, Xbar_R!$D$2, Formulas!$C$15, FALSE))</f>
        <v>0.11518544305325372</v>
      </c>
      <c r="M235" s="143">
        <f t="shared" si="11"/>
        <v>0.25952509684794794</v>
      </c>
      <c r="N235" s="140">
        <f>+IF(K235&gt;=(Formulas!$D$4), M235, 0)</f>
        <v>0.25952509684794794</v>
      </c>
      <c r="O235" s="147">
        <f>+IF(K235&lt;=(Formulas!$D$3), M235, 0)</f>
        <v>0</v>
      </c>
      <c r="P235" s="147">
        <f>NORMDIST(K235,Xbar_R!$I$2,Xbar_R!$K$2/3,FALSE)</f>
        <v>2.9166019932745134E-3</v>
      </c>
      <c r="Q235" s="140">
        <f t="shared" si="12"/>
        <v>6.5590342895578743E-3</v>
      </c>
      <c r="R235" s="135">
        <f t="shared" si="13"/>
        <v>0.79939357602813355</v>
      </c>
    </row>
    <row r="236" spans="10:18" x14ac:dyDescent="0.2">
      <c r="J236" s="142">
        <v>1.52</v>
      </c>
      <c r="K236" s="143">
        <f>IF(ISBLANK(Xbar_R!$D$2), Xbar_R!$F$2+(J236*Formulas!$C$15), Xbar_R!$D$2+(J236*Formulas!$C$15))</f>
        <v>8.1978786901691034</v>
      </c>
      <c r="L236" s="143">
        <f>IF(ISBLANK(Xbar_R!$D$2), NORMDIST(K236, Xbar_R!$F$2, Formulas!$C$15, FALSE), NORMDIST(K236, Xbar_R!$D$2, Formulas!$C$15, FALSE))</f>
        <v>0.11175884473656293</v>
      </c>
      <c r="M236" s="143">
        <f t="shared" si="11"/>
        <v>0.2518046051223829</v>
      </c>
      <c r="N236" s="140">
        <f>+IF(K236&gt;=(Formulas!$D$4), M236, 0)</f>
        <v>0.2518046051223829</v>
      </c>
      <c r="O236" s="147">
        <f>+IF(K236&lt;=(Formulas!$D$3), M236, 0)</f>
        <v>0</v>
      </c>
      <c r="P236" s="147">
        <f>NORMDIST(K236,Xbar_R!$I$2,Xbar_R!$K$2/3,FALSE)</f>
        <v>2.611114848357559E-3</v>
      </c>
      <c r="Q236" s="140">
        <f t="shared" si="12"/>
        <v>5.8720359733152611E-3</v>
      </c>
      <c r="R236" s="135">
        <f t="shared" si="13"/>
        <v>0.79939357602813355</v>
      </c>
    </row>
    <row r="237" spans="10:18" x14ac:dyDescent="0.2">
      <c r="J237" s="142">
        <v>1.54</v>
      </c>
      <c r="K237" s="143">
        <f>IF(ISBLANK(Xbar_R!$D$2), Xbar_R!$F$2+(J237*Formulas!$C$15), Xbar_R!$D$2+(J237*Formulas!$C$15))</f>
        <v>8.2203672255660649</v>
      </c>
      <c r="L237" s="143">
        <f>IF(ISBLANK(Xbar_R!$D$2), NORMDIST(K237, Xbar_R!$F$2, Formulas!$C$15, FALSE), NORMDIST(K237, Xbar_R!$D$2, Formulas!$C$15, FALSE))</f>
        <v>0.10839081770426638</v>
      </c>
      <c r="M237" s="143">
        <f t="shared" si="11"/>
        <v>0.24421608075182372</v>
      </c>
      <c r="N237" s="140">
        <f>+IF(K237&gt;=(Formulas!$D$4), M237, 0)</f>
        <v>0.24421608075182372</v>
      </c>
      <c r="O237" s="147">
        <f>+IF(K237&lt;=(Formulas!$D$3), M237, 0)</f>
        <v>0</v>
      </c>
      <c r="P237" s="147">
        <f>NORMDIST(K237,Xbar_R!$I$2,Xbar_R!$K$2/3,FALSE)</f>
        <v>2.3349661879290004E-3</v>
      </c>
      <c r="Q237" s="140">
        <f t="shared" si="12"/>
        <v>5.2510158488885995E-3</v>
      </c>
      <c r="R237" s="135">
        <f t="shared" si="13"/>
        <v>0.79939357602813355</v>
      </c>
    </row>
    <row r="238" spans="10:18" x14ac:dyDescent="0.2">
      <c r="J238" s="142">
        <v>1.56</v>
      </c>
      <c r="K238" s="143">
        <f>IF(ISBLANK(Xbar_R!$D$2), Xbar_R!$F$2+(J238*Formulas!$C$15), Xbar_R!$D$2+(J238*Formulas!$C$15))</f>
        <v>8.2428557609630282</v>
      </c>
      <c r="L238" s="143">
        <f>IF(ISBLANK(Xbar_R!$D$2), NORMDIST(K238, Xbar_R!$F$2, Formulas!$C$15, FALSE), NORMDIST(K238, Xbar_R!$D$2, Formulas!$C$15, FALSE))</f>
        <v>0.10508225011002248</v>
      </c>
      <c r="M238" s="143">
        <f t="shared" si="11"/>
        <v>0.23676152484125484</v>
      </c>
      <c r="N238" s="140">
        <f>+IF(K238&gt;=(Formulas!$D$4), M238, 0)</f>
        <v>0.23676152484125484</v>
      </c>
      <c r="O238" s="147">
        <f>+IF(K238&lt;=(Formulas!$D$3), M238, 0)</f>
        <v>0</v>
      </c>
      <c r="P238" s="147">
        <f>NORMDIST(K238,Xbar_R!$I$2,Xbar_R!$K$2/3,FALSE)</f>
        <v>2.0856480949134953E-3</v>
      </c>
      <c r="Q238" s="140">
        <f t="shared" si="12"/>
        <v>4.6903339578157907E-3</v>
      </c>
      <c r="R238" s="135">
        <f t="shared" si="13"/>
        <v>0.79939357602813355</v>
      </c>
    </row>
    <row r="239" spans="10:18" x14ac:dyDescent="0.2">
      <c r="J239" s="142">
        <v>1.58</v>
      </c>
      <c r="K239" s="143">
        <f>IF(ISBLANK(Xbar_R!$D$2), Xbar_R!$F$2+(J239*Formulas!$C$15), Xbar_R!$D$2+(J239*Formulas!$C$15))</f>
        <v>8.2653442963599897</v>
      </c>
      <c r="L239" s="143">
        <f>IF(ISBLANK(Xbar_R!$D$2), NORMDIST(K239, Xbar_R!$F$2, Formulas!$C$15, FALSE), NORMDIST(K239, Xbar_R!$D$2, Formulas!$C$15, FALSE))</f>
        <v>0.1018339329245616</v>
      </c>
      <c r="M239" s="143">
        <f t="shared" si="11"/>
        <v>0.22944271953215137</v>
      </c>
      <c r="N239" s="140">
        <f>+IF(K239&gt;=(Formulas!$D$4), M239, 0)</f>
        <v>0.22944271953215137</v>
      </c>
      <c r="O239" s="147">
        <f>+IF(K239&lt;=(Formulas!$D$3), M239, 0)</f>
        <v>0</v>
      </c>
      <c r="P239" s="147">
        <f>NORMDIST(K239,Xbar_R!$I$2,Xbar_R!$K$2/3,FALSE)</f>
        <v>1.8608325129655697E-3</v>
      </c>
      <c r="Q239" s="140">
        <f t="shared" si="12"/>
        <v>4.1847548235274586E-3</v>
      </c>
      <c r="R239" s="135">
        <f t="shared" si="13"/>
        <v>0.79939357602813355</v>
      </c>
    </row>
    <row r="240" spans="10:18" x14ac:dyDescent="0.2">
      <c r="J240" s="142">
        <v>1.6</v>
      </c>
      <c r="K240" s="143">
        <f>IF(ISBLANK(Xbar_R!$D$2), Xbar_R!$F$2+(J240*Formulas!$C$15), Xbar_R!$D$2+(J240*Formulas!$C$15))</f>
        <v>8.2878328317569512</v>
      </c>
      <c r="L240" s="143">
        <f>IF(ISBLANK(Xbar_R!$D$2), NORMDIST(K240, Xbar_R!$F$2, Formulas!$C$15, FALSE), NORMDIST(K240, Xbar_R!$D$2, Formulas!$C$15, FALSE))</f>
        <v>9.8646561655980972E-2</v>
      </c>
      <c r="M240" s="143">
        <f t="shared" si="11"/>
        <v>0.2222612318784874</v>
      </c>
      <c r="N240" s="140">
        <f>+IF(K240&gt;=(Formulas!$D$4), M240, 0)</f>
        <v>0.2222612318784874</v>
      </c>
      <c r="O240" s="147">
        <f>+IF(K240&lt;=(Formulas!$D$3), M240, 0)</f>
        <v>0</v>
      </c>
      <c r="P240" s="147">
        <f>NORMDIST(K240,Xbar_R!$I$2,Xbar_R!$K$2/3,FALSE)</f>
        <v>1.658362060260351E-3</v>
      </c>
      <c r="Q240" s="140">
        <f t="shared" si="12"/>
        <v>3.729426792833473E-3</v>
      </c>
      <c r="R240" s="135">
        <f t="shared" si="13"/>
        <v>0.79939357602813355</v>
      </c>
    </row>
    <row r="241" spans="10:18" x14ac:dyDescent="0.2">
      <c r="J241" s="142">
        <v>1.62</v>
      </c>
      <c r="K241" s="143">
        <f>IF(ISBLANK(Xbar_R!$D$2), Xbar_R!$F$2+(J241*Formulas!$C$15), Xbar_R!$D$2+(J241*Formulas!$C$15))</f>
        <v>8.3103213671539127</v>
      </c>
      <c r="L241" s="143">
        <f>IF(ISBLANK(Xbar_R!$D$2), NORMDIST(K241, Xbar_R!$F$2, Formulas!$C$15, FALSE), NORMDIST(K241, Xbar_R!$D$2, Formulas!$C$15, FALSE))</f>
        <v>9.5520738205115835E-2</v>
      </c>
      <c r="M241" s="143">
        <f t="shared" si="11"/>
        <v>0.21521841802708513</v>
      </c>
      <c r="N241" s="140">
        <f>+IF(K241&gt;=(Formulas!$D$4), M241, 0)</f>
        <v>0.21521841802708513</v>
      </c>
      <c r="O241" s="147">
        <f>+IF(K241&lt;=(Formulas!$D$3), M241, 0)</f>
        <v>0</v>
      </c>
      <c r="P241" s="147">
        <f>NORMDIST(K241,Xbar_R!$I$2,Xbar_R!$K$2/3,FALSE)</f>
        <v>1.476240911328448E-3</v>
      </c>
      <c r="Q241" s="140">
        <f t="shared" si="12"/>
        <v>3.3198615304313511E-3</v>
      </c>
      <c r="R241" s="135">
        <f t="shared" si="13"/>
        <v>0.79939357602813355</v>
      </c>
    </row>
    <row r="242" spans="10:18" x14ac:dyDescent="0.2">
      <c r="J242" s="142">
        <v>1.64</v>
      </c>
      <c r="K242" s="143">
        <f>IF(ISBLANK(Xbar_R!$D$2), Xbar_R!$F$2+(J242*Formulas!$C$15), Xbar_R!$D$2+(J242*Formulas!$C$15))</f>
        <v>8.3328099025508742</v>
      </c>
      <c r="L242" s="143">
        <f>IF(ISBLANK(Xbar_R!$D$2), NORMDIST(K242, Xbar_R!$F$2, Formulas!$C$15, FALSE), NORMDIST(K242, Xbar_R!$D$2, Formulas!$C$15, FALSE))</f>
        <v>9.2456972847426128E-2</v>
      </c>
      <c r="M242" s="143">
        <f t="shared" si="11"/>
        <v>0.20831542768301711</v>
      </c>
      <c r="N242" s="140">
        <f>+IF(K242&gt;=(Formulas!$D$4), M242, 0)</f>
        <v>0.20831542768301711</v>
      </c>
      <c r="O242" s="147">
        <f>+IF(K242&lt;=(Formulas!$D$3), M242, 0)</f>
        <v>0</v>
      </c>
      <c r="P242" s="147">
        <f>NORMDIST(K242,Xbar_R!$I$2,Xbar_R!$K$2/3,FALSE)</f>
        <v>1.3126257983679895E-3</v>
      </c>
      <c r="Q242" s="140">
        <f t="shared" si="12"/>
        <v>2.9519137821022476E-3</v>
      </c>
      <c r="R242" s="135">
        <f t="shared" si="13"/>
        <v>0.79939357602813355</v>
      </c>
    </row>
    <row r="243" spans="10:18" x14ac:dyDescent="0.2">
      <c r="J243" s="142">
        <v>1.66</v>
      </c>
      <c r="K243" s="143">
        <f>IF(ISBLANK(Xbar_R!$D$2), Xbar_R!$F$2+(J243*Formulas!$C$15), Xbar_R!$D$2+(J243*Formulas!$C$15))</f>
        <v>8.3552984379478374</v>
      </c>
      <c r="L243" s="143">
        <f>IF(ISBLANK(Xbar_R!$D$2), NORMDIST(K243, Xbar_R!$F$2, Formulas!$C$15, FALSE), NORMDIST(K243, Xbar_R!$D$2, Formulas!$C$15, FALSE))</f>
        <v>8.9455686332760728E-2</v>
      </c>
      <c r="M243" s="143">
        <f t="shared" si="11"/>
        <v>0.20155320884059907</v>
      </c>
      <c r="N243" s="140">
        <f>+IF(K243&gt;=(Formulas!$D$4), M243, 0)</f>
        <v>0.20155320884059907</v>
      </c>
      <c r="O243" s="147">
        <f>+IF(K243&lt;=(Formulas!$D$3), M243, 0)</f>
        <v>0</v>
      </c>
      <c r="P243" s="147">
        <f>NORMDIST(K243,Xbar_R!$I$2,Xbar_R!$K$2/3,FALSE)</f>
        <v>1.1658171770025864E-3</v>
      </c>
      <c r="Q243" s="140">
        <f t="shared" si="12"/>
        <v>2.6217615077230791E-3</v>
      </c>
      <c r="R243" s="135">
        <f t="shared" si="13"/>
        <v>0.79939357602813355</v>
      </c>
    </row>
    <row r="244" spans="10:18" x14ac:dyDescent="0.2">
      <c r="J244" s="142">
        <v>1.68</v>
      </c>
      <c r="K244" s="143">
        <f>IF(ISBLANK(Xbar_R!$D$2), Xbar_R!$F$2+(J244*Formulas!$C$15), Xbar_R!$D$2+(J244*Formulas!$C$15))</f>
        <v>8.3777869733447989</v>
      </c>
      <c r="L244" s="143">
        <f>IF(ISBLANK(Xbar_R!$D$2), NORMDIST(K244, Xbar_R!$F$2, Formulas!$C$15, FALSE), NORMDIST(K244, Xbar_R!$D$2, Formulas!$C$15, FALSE))</f>
        <v>8.6517212094309973E-2</v>
      </c>
      <c r="M244" s="143">
        <f t="shared" si="11"/>
        <v>0.19493251276039603</v>
      </c>
      <c r="N244" s="140">
        <f>+IF(K244&gt;=(Formulas!$D$4), M244, 0)</f>
        <v>0.19493251276039603</v>
      </c>
      <c r="O244" s="147">
        <f>+IF(K244&lt;=(Formulas!$D$3), M244, 0)</f>
        <v>0</v>
      </c>
      <c r="P244" s="147">
        <f>NORMDIST(K244,Xbar_R!$I$2,Xbar_R!$K$2/3,FALSE)</f>
        <v>1.0342505953061954E-3</v>
      </c>
      <c r="Q244" s="140">
        <f t="shared" si="12"/>
        <v>2.3258864713977768E-3</v>
      </c>
      <c r="R244" s="135">
        <f t="shared" si="13"/>
        <v>0.79939357602813355</v>
      </c>
    </row>
    <row r="245" spans="10:18" x14ac:dyDescent="0.2">
      <c r="J245" s="142">
        <v>1.7</v>
      </c>
      <c r="K245" s="143">
        <f>IF(ISBLANK(Xbar_R!$D$2), Xbar_R!$F$2+(J245*Formulas!$C$15), Xbar_R!$D$2+(J245*Formulas!$C$15))</f>
        <v>8.4002755087417604</v>
      </c>
      <c r="L245" s="143">
        <f>IF(ISBLANK(Xbar_R!$D$2), NORMDIST(K245, Xbar_R!$F$2, Formulas!$C$15, FALSE), NORMDIST(K245, Xbar_R!$D$2, Formulas!$C$15, FALSE))</f>
        <v>8.3641798558026711E-2</v>
      </c>
      <c r="M245" s="143">
        <f t="shared" si="11"/>
        <v>0.18845389917259392</v>
      </c>
      <c r="N245" s="140">
        <f>+IF(K245&gt;=(Formulas!$D$4), M245, 0)</f>
        <v>0.18845389917259392</v>
      </c>
      <c r="O245" s="147">
        <f>+IF(K245&lt;=(Formulas!$D$3), M245, 0)</f>
        <v>0</v>
      </c>
      <c r="P245" s="147">
        <f>NORMDIST(K245,Xbar_R!$I$2,Xbar_R!$K$2/3,FALSE)</f>
        <v>9.1648829910938561E-4</v>
      </c>
      <c r="Q245" s="140">
        <f t="shared" si="12"/>
        <v>2.0610553629527217E-3</v>
      </c>
      <c r="R245" s="135">
        <f t="shared" si="13"/>
        <v>0.79939357602813355</v>
      </c>
    </row>
    <row r="246" spans="10:18" x14ac:dyDescent="0.2">
      <c r="J246" s="142">
        <v>1.72</v>
      </c>
      <c r="K246" s="143">
        <f>IF(ISBLANK(Xbar_R!$D$2), Xbar_R!$F$2+(J246*Formulas!$C$15), Xbar_R!$D$2+(J246*Formulas!$C$15))</f>
        <v>8.4227640441387219</v>
      </c>
      <c r="L246" s="143">
        <f>IF(ISBLANK(Xbar_R!$D$2), NORMDIST(K246, Xbar_R!$F$2, Formulas!$C$15, FALSE), NORMDIST(K246, Xbar_R!$D$2, Formulas!$C$15, FALSE))</f>
        <v>8.0829611543810367E-2</v>
      </c>
      <c r="M246" s="143">
        <f t="shared" si="11"/>
        <v>0.18211774168712405</v>
      </c>
      <c r="N246" s="140">
        <f>+IF(K246&gt;=(Formulas!$D$4), M246, 0)</f>
        <v>0.18211774168712405</v>
      </c>
      <c r="O246" s="147">
        <f>+IF(K246&lt;=(Formulas!$D$3), M246, 0)</f>
        <v>0</v>
      </c>
      <c r="P246" s="147">
        <f>NORMDIST(K246,Xbar_R!$I$2,Xbar_R!$K$2/3,FALSE)</f>
        <v>8.1121110115570843E-4</v>
      </c>
      <c r="Q246" s="140">
        <f t="shared" si="12"/>
        <v>1.8243015127945494E-3</v>
      </c>
      <c r="R246" s="135">
        <f t="shared" si="13"/>
        <v>0.79939357602813355</v>
      </c>
    </row>
    <row r="247" spans="10:18" x14ac:dyDescent="0.2">
      <c r="J247" s="142">
        <v>1.74</v>
      </c>
      <c r="K247" s="143">
        <f>IF(ISBLANK(Xbar_R!$D$2), Xbar_R!$F$2+(J247*Formulas!$C$15), Xbar_R!$D$2+(J247*Formulas!$C$15))</f>
        <v>8.4452525795356834</v>
      </c>
      <c r="L247" s="143">
        <f>IF(ISBLANK(Xbar_R!$D$2), NORMDIST(K247, Xbar_R!$F$2, Formulas!$C$15, FALSE), NORMDIST(K247, Xbar_R!$D$2, Formulas!$C$15, FALSE))</f>
        <v>7.80807367497722E-2</v>
      </c>
      <c r="M247" s="143">
        <f t="shared" si="11"/>
        <v>0.17592423339097754</v>
      </c>
      <c r="N247" s="140">
        <f>+IF(K247&gt;=(Formulas!$D$4), M247, 0)</f>
        <v>0.17592423339097754</v>
      </c>
      <c r="O247" s="147">
        <f>+IF(K247&lt;=(Formulas!$D$3), M247, 0)</f>
        <v>0</v>
      </c>
      <c r="P247" s="147">
        <f>NORMDIST(K247,Xbar_R!$I$2,Xbar_R!$K$2/3,FALSE)</f>
        <v>7.1721053660254823E-4</v>
      </c>
      <c r="Q247" s="140">
        <f t="shared" si="12"/>
        <v>1.6129072507170682E-3</v>
      </c>
      <c r="R247" s="135">
        <f t="shared" si="13"/>
        <v>0.79939357602813355</v>
      </c>
    </row>
    <row r="248" spans="10:18" x14ac:dyDescent="0.2">
      <c r="J248" s="142">
        <v>1.76</v>
      </c>
      <c r="K248" s="143">
        <f>IF(ISBLANK(Xbar_R!$D$2), Xbar_R!$F$2+(J248*Formulas!$C$15), Xbar_R!$D$2+(J248*Formulas!$C$15))</f>
        <v>8.4677411149326467</v>
      </c>
      <c r="L248" s="143">
        <f>IF(ISBLANK(Xbar_R!$D$2), NORMDIST(K248, Xbar_R!$F$2, Formulas!$C$15, FALSE), NORMDIST(K248, Xbar_R!$D$2, Formulas!$C$15, FALSE))</f>
        <v>7.5395182310961081E-2</v>
      </c>
      <c r="M248" s="143">
        <f t="shared" si="11"/>
        <v>0.16987339261328774</v>
      </c>
      <c r="N248" s="140">
        <f>+IF(K248&gt;=(Formulas!$D$4), M248, 0)</f>
        <v>0.16987339261328774</v>
      </c>
      <c r="O248" s="147">
        <f>+IF(K248&lt;=(Formulas!$D$3), M248, 0)</f>
        <v>0</v>
      </c>
      <c r="P248" s="147">
        <f>NORMDIST(K248,Xbar_R!$I$2,Xbar_R!$K$2/3,FALSE)</f>
        <v>6.3338132266680335E-4</v>
      </c>
      <c r="Q248" s="140">
        <f t="shared" si="12"/>
        <v>1.4243869486878149E-3</v>
      </c>
      <c r="R248" s="135">
        <f t="shared" si="13"/>
        <v>0.79939357602813355</v>
      </c>
    </row>
    <row r="249" spans="10:18" x14ac:dyDescent="0.2">
      <c r="J249" s="142">
        <v>1.78</v>
      </c>
      <c r="K249" s="143">
        <f>IF(ISBLANK(Xbar_R!$D$2), Xbar_R!$F$2+(J249*Formulas!$C$15), Xbar_R!$D$2+(J249*Formulas!$C$15))</f>
        <v>8.4902296503296082</v>
      </c>
      <c r="L249" s="143">
        <f>IF(ISBLANK(Xbar_R!$D$2), NORMDIST(K249, Xbar_R!$F$2, Formulas!$C$15, FALSE), NORMDIST(K249, Xbar_R!$D$2, Formulas!$C$15, FALSE))</f>
        <v>7.2772881424014293E-2</v>
      </c>
      <c r="M249" s="143">
        <f t="shared" si="11"/>
        <v>0.16396506883894862</v>
      </c>
      <c r="N249" s="140">
        <f>+IF(K249&gt;=(Formulas!$D$4), M249, 0)</f>
        <v>0.16396506883894862</v>
      </c>
      <c r="O249" s="147">
        <f>+IF(K249&lt;=(Formulas!$D$3), M249, 0)</f>
        <v>0</v>
      </c>
      <c r="P249" s="147">
        <f>NORMDIST(K249,Xbar_R!$I$2,Xbar_R!$K$2/3,FALSE)</f>
        <v>5.5871413590303295E-4</v>
      </c>
      <c r="Q249" s="140">
        <f t="shared" si="12"/>
        <v>1.2564707779460717E-3</v>
      </c>
      <c r="R249" s="135">
        <f t="shared" si="13"/>
        <v>0.79939357602813355</v>
      </c>
    </row>
    <row r="250" spans="10:18" x14ac:dyDescent="0.2">
      <c r="J250" s="142">
        <v>1.8</v>
      </c>
      <c r="K250" s="143">
        <f>IF(ISBLANK(Xbar_R!$D$2), Xbar_R!$F$2+(J250*Formulas!$C$15), Xbar_R!$D$2+(J250*Formulas!$C$15))</f>
        <v>8.5127181857265697</v>
      </c>
      <c r="L250" s="143">
        <f>IF(ISBLANK(Xbar_R!$D$2), NORMDIST(K250, Xbar_R!$F$2, Formulas!$C$15, FALSE), NORMDIST(K250, Xbar_R!$D$2, Formulas!$C$15, FALSE))</f>
        <v>7.0213695029299292E-2</v>
      </c>
      <c r="M250" s="143">
        <f t="shared" si="11"/>
        <v>0.15819894875176629</v>
      </c>
      <c r="N250" s="140">
        <f>+IF(K250&gt;=(Formulas!$D$4), M250, 0)</f>
        <v>0.15819894875176629</v>
      </c>
      <c r="O250" s="147">
        <f>+IF(K250&lt;=(Formulas!$D$3), M250, 0)</f>
        <v>0</v>
      </c>
      <c r="P250" s="147">
        <f>NORMDIST(K250,Xbar_R!$I$2,Xbar_R!$K$2/3,FALSE)</f>
        <v>4.922887166686706E-4</v>
      </c>
      <c r="Q250" s="140">
        <f t="shared" si="12"/>
        <v>1.1070892018993216E-3</v>
      </c>
      <c r="R250" s="135">
        <f t="shared" si="13"/>
        <v>0.79939357602813355</v>
      </c>
    </row>
    <row r="251" spans="10:18" x14ac:dyDescent="0.2">
      <c r="J251" s="142">
        <v>1.82</v>
      </c>
      <c r="K251" s="143">
        <f>IF(ISBLANK(Xbar_R!$D$2), Xbar_R!$F$2+(J251*Formulas!$C$15), Xbar_R!$D$2+(J251*Formulas!$C$15))</f>
        <v>8.5352067211235312</v>
      </c>
      <c r="L251" s="143">
        <f>IF(ISBLANK(Xbar_R!$D$2), NORMDIST(K251, Xbar_R!$F$2, Formulas!$C$15, FALSE), NORMDIST(K251, Xbar_R!$D$2, Formulas!$C$15, FALSE))</f>
        <v>6.7717414542250762E-2</v>
      </c>
      <c r="M251" s="143">
        <f t="shared" si="11"/>
        <v>0.15257456238845307</v>
      </c>
      <c r="N251" s="140">
        <f>+IF(K251&gt;=(Formulas!$D$4), M251, 0)</f>
        <v>0.15257456238845307</v>
      </c>
      <c r="O251" s="147">
        <f>+IF(K251&lt;=(Formulas!$D$3), M251, 0)</f>
        <v>0</v>
      </c>
      <c r="P251" s="147">
        <f>NORMDIST(K251,Xbar_R!$I$2,Xbar_R!$K$2/3,FALSE)</f>
        <v>4.3326730677182971E-4</v>
      </c>
      <c r="Q251" s="140">
        <f t="shared" si="12"/>
        <v>9.7435821830124745E-4</v>
      </c>
      <c r="R251" s="135">
        <f t="shared" si="13"/>
        <v>0.79939357602813355</v>
      </c>
    </row>
    <row r="252" spans="10:18" x14ac:dyDescent="0.2">
      <c r="J252" s="142">
        <v>1.84</v>
      </c>
      <c r="K252" s="143">
        <f>IF(ISBLANK(Xbar_R!$D$2), Xbar_R!$F$2+(J252*Formulas!$C$15), Xbar_R!$D$2+(J252*Formulas!$C$15))</f>
        <v>8.5576952565204927</v>
      </c>
      <c r="L252" s="143">
        <f>IF(ISBLANK(Xbar_R!$D$2), NORMDIST(K252, Xbar_R!$F$2, Formulas!$C$15, FALSE), NORMDIST(K252, Xbar_R!$D$2, Formulas!$C$15, FALSE))</f>
        <v>6.5283764625751473E-2</v>
      </c>
      <c r="M252" s="143">
        <f t="shared" si="11"/>
        <v>0.1470912893850973</v>
      </c>
      <c r="N252" s="140">
        <f>+IF(K252&gt;=(Formulas!$D$4), M252, 0)</f>
        <v>0.1470912893850973</v>
      </c>
      <c r="O252" s="147">
        <f>+IF(K252&lt;=(Formulas!$D$3), M252, 0)</f>
        <v>0</v>
      </c>
      <c r="P252" s="147">
        <f>NORMDIST(K252,Xbar_R!$I$2,Xbar_R!$K$2/3,FALSE)</f>
        <v>3.8088842310223019E-4</v>
      </c>
      <c r="Q252" s="140">
        <f t="shared" si="12"/>
        <v>8.5656535700927804E-4</v>
      </c>
      <c r="R252" s="135">
        <f t="shared" si="13"/>
        <v>0.79939357602813355</v>
      </c>
    </row>
    <row r="253" spans="10:18" x14ac:dyDescent="0.2">
      <c r="J253" s="142">
        <v>1.86</v>
      </c>
      <c r="K253" s="143">
        <f>IF(ISBLANK(Xbar_R!$D$2), Xbar_R!$F$2+(J253*Formulas!$C$15), Xbar_R!$D$2+(J253*Formulas!$C$15))</f>
        <v>8.5801837919174559</v>
      </c>
      <c r="L253" s="143">
        <f>IF(ISBLANK(Xbar_R!$D$2), NORMDIST(K253, Xbar_R!$F$2, Formulas!$C$15, FALSE), NORMDIST(K253, Xbar_R!$D$2, Formulas!$C$15, FALSE))</f>
        <v>6.2912405995581289E-2</v>
      </c>
      <c r="M253" s="143">
        <f t="shared" si="11"/>
        <v>0.14174836529813953</v>
      </c>
      <c r="N253" s="140">
        <f>+IF(K253&gt;=(Formulas!$D$4), M253, 0)</f>
        <v>0.14174836529813953</v>
      </c>
      <c r="O253" s="147">
        <f>+IF(K253&lt;=(Formulas!$D$3), M253, 0)</f>
        <v>0</v>
      </c>
      <c r="P253" s="147">
        <f>NORMDIST(K253,Xbar_R!$I$2,Xbar_R!$K$2/3,FALSE)</f>
        <v>3.3446096720354752E-4</v>
      </c>
      <c r="Q253" s="140">
        <f t="shared" si="12"/>
        <v>7.5215643322790627E-4</v>
      </c>
      <c r="R253" s="135">
        <f t="shared" si="13"/>
        <v>0.79939357602813355</v>
      </c>
    </row>
    <row r="254" spans="10:18" x14ac:dyDescent="0.2">
      <c r="J254" s="142">
        <v>1.88</v>
      </c>
      <c r="K254" s="143">
        <f>IF(ISBLANK(Xbar_R!$D$2), Xbar_R!$F$2+(J254*Formulas!$C$15), Xbar_R!$D$2+(J254*Formulas!$C$15))</f>
        <v>8.6026723273144174</v>
      </c>
      <c r="L254" s="143">
        <f>IF(ISBLANK(Xbar_R!$D$2), NORMDIST(K254, Xbar_R!$F$2, Formulas!$C$15, FALSE), NORMDIST(K254, Xbar_R!$D$2, Formulas!$C$15, FALSE))</f>
        <v>6.0602938251150394E-2</v>
      </c>
      <c r="M254" s="143">
        <f t="shared" si="11"/>
        <v>0.13654488798231643</v>
      </c>
      <c r="N254" s="140">
        <f>+IF(K254&gt;=(Formulas!$D$4), M254, 0)</f>
        <v>0.13654488798231643</v>
      </c>
      <c r="O254" s="147">
        <f>+IF(K254&lt;=(Formulas!$D$3), M254, 0)</f>
        <v>0</v>
      </c>
      <c r="P254" s="147">
        <f>NORMDIST(K254,Xbar_R!$I$2,Xbar_R!$K$2/3,FALSE)</f>
        <v>2.9335866824115405E-4</v>
      </c>
      <c r="Q254" s="140">
        <f t="shared" si="12"/>
        <v>6.5972305051210977E-4</v>
      </c>
      <c r="R254" s="135">
        <f t="shared" si="13"/>
        <v>0.79939357602813355</v>
      </c>
    </row>
    <row r="255" spans="10:18" x14ac:dyDescent="0.2">
      <c r="J255" s="142">
        <v>1.9</v>
      </c>
      <c r="K255" s="143">
        <f>IF(ISBLANK(Xbar_R!$D$2), Xbar_R!$F$2+(J255*Formulas!$C$15), Xbar_R!$D$2+(J255*Formulas!$C$15))</f>
        <v>8.6251608627113789</v>
      </c>
      <c r="L255" s="143">
        <f>IF(ISBLANK(Xbar_R!$D$2), NORMDIST(K255, Xbar_R!$F$2, Formulas!$C$15, FALSE), NORMDIST(K255, Xbar_R!$D$2, Formulas!$C$15, FALSE))</f>
        <v>5.8354902723937355E-2</v>
      </c>
      <c r="M255" s="143">
        <f t="shared" si="11"/>
        <v>0.13147982400849589</v>
      </c>
      <c r="N255" s="140">
        <f>+IF(K255&gt;=(Formulas!$D$4), M255, 0)</f>
        <v>0.13147982400849589</v>
      </c>
      <c r="O255" s="147">
        <f>+IF(K255&lt;=(Formulas!$D$3), M255, 0)</f>
        <v>0</v>
      </c>
      <c r="P255" s="147">
        <f>NORMDIST(K255,Xbar_R!$I$2,Xbar_R!$K$2/3,FALSE)</f>
        <v>2.5701485463660049E-4</v>
      </c>
      <c r="Q255" s="140">
        <f t="shared" si="12"/>
        <v>5.7799084289679047E-4</v>
      </c>
      <c r="R255" s="135">
        <f t="shared" si="13"/>
        <v>0.79939357602813355</v>
      </c>
    </row>
    <row r="256" spans="10:18" x14ac:dyDescent="0.2">
      <c r="J256" s="142">
        <v>1.92</v>
      </c>
      <c r="K256" s="143">
        <f>IF(ISBLANK(Xbar_R!$D$2), Xbar_R!$F$2+(J256*Formulas!$C$15), Xbar_R!$D$2+(J256*Formulas!$C$15))</f>
        <v>8.6476493981083404</v>
      </c>
      <c r="L256" s="143">
        <f>IF(ISBLANK(Xbar_R!$D$2), NORMDIST(K256, Xbar_R!$F$2, Formulas!$C$15, FALSE), NORMDIST(K256, Xbar_R!$D$2, Formulas!$C$15, FALSE))</f>
        <v>5.616778533628377E-2</v>
      </c>
      <c r="M256" s="143">
        <f t="shared" si="11"/>
        <v>0.12655201510484645</v>
      </c>
      <c r="N256" s="140">
        <f>+IF(K256&gt;=(Formulas!$D$4), M256, 0)</f>
        <v>0.12655201510484645</v>
      </c>
      <c r="O256" s="147">
        <f>+IF(K256&lt;=(Formulas!$D$3), M256, 0)</f>
        <v>0</v>
      </c>
      <c r="P256" s="147">
        <f>NORMDIST(K256,Xbar_R!$I$2,Xbar_R!$K$2/3,FALSE)</f>
        <v>2.249175477617493E-4</v>
      </c>
      <c r="Q256" s="140">
        <f t="shared" si="12"/>
        <v>5.058084412938044E-4</v>
      </c>
      <c r="R256" s="135">
        <f t="shared" si="13"/>
        <v>0.79939357602813355</v>
      </c>
    </row>
    <row r="257" spans="10:18" x14ac:dyDescent="0.2">
      <c r="J257" s="142">
        <v>1.94</v>
      </c>
      <c r="K257" s="143">
        <f>IF(ISBLANK(Xbar_R!$D$2), Xbar_R!$F$2+(J257*Formulas!$C$15), Xbar_R!$D$2+(J257*Formulas!$C$15))</f>
        <v>8.6701379335053019</v>
      </c>
      <c r="L257" s="143">
        <f>IF(ISBLANK(Xbar_R!$D$2), NORMDIST(K257, Xbar_R!$F$2, Formulas!$C$15, FALSE), NORMDIST(K257, Xbar_R!$D$2, Formulas!$C$15, FALSE))</f>
        <v>5.4041019463432059E-2</v>
      </c>
      <c r="M257" s="143">
        <f t="shared" si="11"/>
        <v>0.1217601846053139</v>
      </c>
      <c r="N257" s="140">
        <f>+IF(K257&gt;=(Formulas!$D$4), M257, 0)</f>
        <v>0.1217601846053139</v>
      </c>
      <c r="O257" s="147">
        <f>+IF(K257&lt;=(Formulas!$D$3), M257, 0)</f>
        <v>0</v>
      </c>
      <c r="P257" s="147">
        <f>NORMDIST(K257,Xbar_R!$I$2,Xbar_R!$K$2/3,FALSE)</f>
        <v>1.9660486949191167E-4</v>
      </c>
      <c r="Q257" s="140">
        <f t="shared" si="12"/>
        <v>4.4213714571446052E-4</v>
      </c>
      <c r="R257" s="135">
        <f t="shared" si="13"/>
        <v>0.79939357602813355</v>
      </c>
    </row>
    <row r="258" spans="10:18" x14ac:dyDescent="0.2">
      <c r="J258" s="142">
        <v>1.96</v>
      </c>
      <c r="K258" s="143">
        <f>IF(ISBLANK(Xbar_R!$D$2), Xbar_R!$F$2+(J258*Formulas!$C$15), Xbar_R!$D$2+(J258*Formulas!$C$15))</f>
        <v>8.6926264689022652</v>
      </c>
      <c r="L258" s="143">
        <f>IF(ISBLANK(Xbar_R!$D$2), NORMDIST(K258, Xbar_R!$F$2, Formulas!$C$15, FALSE), NORMDIST(K258, Xbar_R!$D$2, Formulas!$C$15, FALSE))</f>
        <v>5.1973988791948283E-2</v>
      </c>
      <c r="M258" s="143">
        <f t="shared" si="11"/>
        <v>0.11710294388995295</v>
      </c>
      <c r="N258" s="140">
        <f>+IF(K258&gt;=(Formulas!$D$4), M258, 0)</f>
        <v>0.11710294388995295</v>
      </c>
      <c r="O258" s="147">
        <f>+IF(K258&lt;=(Formulas!$D$3), M258, 0)</f>
        <v>0</v>
      </c>
      <c r="P258" s="147">
        <f>NORMDIST(K258,Xbar_R!$I$2,Xbar_R!$K$2/3,FALSE)</f>
        <v>1.7166075408952682E-4</v>
      </c>
      <c r="Q258" s="140">
        <f t="shared" si="12"/>
        <v>3.8604128188929581E-4</v>
      </c>
      <c r="R258" s="135">
        <f t="shared" si="13"/>
        <v>0.79939357602813355</v>
      </c>
    </row>
    <row r="259" spans="10:18" x14ac:dyDescent="0.2">
      <c r="J259" s="142">
        <v>1.98</v>
      </c>
      <c r="K259" s="143">
        <f>IF(ISBLANK(Xbar_R!$D$2), Xbar_R!$F$2+(J259*Formulas!$C$15), Xbar_R!$D$2+(J259*Formulas!$C$15))</f>
        <v>8.7151150042992267</v>
      </c>
      <c r="L259" s="143">
        <f>IF(ISBLANK(Xbar_R!$D$2), NORMDIST(K259, Xbar_R!$F$2, Formulas!$C$15, FALSE), NORMDIST(K259, Xbar_R!$D$2, Formulas!$C$15, FALSE))</f>
        <v>4.9966030167938977E-2</v>
      </c>
      <c r="M259" s="143">
        <f t="shared" si="11"/>
        <v>0.11257879880226368</v>
      </c>
      <c r="N259" s="140">
        <f>+IF(K259&gt;=(Formulas!$D$4), M259, 0)</f>
        <v>0.11257879880226368</v>
      </c>
      <c r="O259" s="147">
        <f>+IF(K259&lt;=(Formulas!$D$3), M259, 0)</f>
        <v>0</v>
      </c>
      <c r="P259" s="147">
        <f>NORMDIST(K259,Xbar_R!$I$2,Xbar_R!$K$2/3,FALSE)</f>
        <v>1.4971095380752651E-4</v>
      </c>
      <c r="Q259" s="140">
        <f t="shared" si="12"/>
        <v>3.3667921842277861E-4</v>
      </c>
      <c r="R259" s="135">
        <f t="shared" si="13"/>
        <v>0.79939357602813355</v>
      </c>
    </row>
    <row r="260" spans="10:18" x14ac:dyDescent="0.2">
      <c r="J260" s="142">
        <v>2</v>
      </c>
      <c r="K260" s="143">
        <f>IF(ISBLANK(Xbar_R!$D$2), Xbar_R!$F$2+(J260*Formulas!$C$15), Xbar_R!$D$2+(J260*Formulas!$C$15))</f>
        <v>8.7376035396961882</v>
      </c>
      <c r="L260" s="143">
        <f>IF(ISBLANK(Xbar_R!$D$2), NORMDIST(K260, Xbar_R!$F$2, Formulas!$C$15, FALSE), NORMDIST(K260, Xbar_R!$D$2, Formulas!$C$15, FALSE))</f>
        <v>4.8016436428743231E-2</v>
      </c>
      <c r="M260" s="143">
        <f t="shared" ref="M260:M316" si="14">100*(L260/$L$317)</f>
        <v>0.10818615602929624</v>
      </c>
      <c r="N260" s="140">
        <f>+IF(K260&gt;=(Formulas!$D$4), M260, 0)</f>
        <v>0.10818615602929624</v>
      </c>
      <c r="O260" s="147">
        <f>+IF(K260&lt;=(Formulas!$D$3), M260, 0)</f>
        <v>0</v>
      </c>
      <c r="P260" s="147">
        <f>NORMDIST(K260,Xbar_R!$I$2,Xbar_R!$K$2/3,FALSE)</f>
        <v>1.3041932674448027E-4</v>
      </c>
      <c r="Q260" s="140">
        <f t="shared" si="12"/>
        <v>2.9329501869320877E-4</v>
      </c>
      <c r="R260" s="135">
        <f t="shared" si="13"/>
        <v>0.79939357602813355</v>
      </c>
    </row>
    <row r="261" spans="10:18" x14ac:dyDescent="0.2">
      <c r="J261" s="142">
        <v>2.02</v>
      </c>
      <c r="K261" s="143">
        <f>IF(ISBLANK(Xbar_R!$D$2), Xbar_R!$F$2+(J261*Formulas!$C$15), Xbar_R!$D$2+(J261*Formulas!$C$15))</f>
        <v>8.7600920750931515</v>
      </c>
      <c r="L261" s="143">
        <f>IF(ISBLANK(Xbar_R!$D$2), NORMDIST(K261, Xbar_R!$F$2, Formulas!$C$15, FALSE), NORMDIST(K261, Xbar_R!$D$2, Formulas!$C$15, FALSE))</f>
        <v>4.6124459212072158E-2</v>
      </c>
      <c r="M261" s="143">
        <f t="shared" si="14"/>
        <v>0.10392332943094161</v>
      </c>
      <c r="N261" s="140">
        <f>+IF(K261&gt;=(Formulas!$D$4), M261, 0)</f>
        <v>0.10392332943094161</v>
      </c>
      <c r="O261" s="147">
        <f>+IF(K261&lt;=(Formulas!$D$3), M261, 0)</f>
        <v>0</v>
      </c>
      <c r="P261" s="147">
        <f>NORMDIST(K261,Xbar_R!$I$2,Xbar_R!$K$2/3,FALSE)</f>
        <v>1.1348439483199179E-4</v>
      </c>
      <c r="Q261" s="140">
        <f t="shared" ref="Q261:Q316" si="15">100*(P261/$P$317)</f>
        <v>2.5521070024267099E-4</v>
      </c>
      <c r="R261" s="135">
        <f t="shared" si="13"/>
        <v>0.79939357602813355</v>
      </c>
    </row>
    <row r="262" spans="10:18" x14ac:dyDescent="0.2">
      <c r="J262" s="142">
        <v>2.04</v>
      </c>
      <c r="K262" s="143">
        <f>IF(ISBLANK(Xbar_R!$D$2), Xbar_R!$F$2+(J262*Formulas!$C$15), Xbar_R!$D$2+(J262*Formulas!$C$15))</f>
        <v>8.782580610490113</v>
      </c>
      <c r="L262" s="143">
        <f>IF(ISBLANK(Xbar_R!$D$2), NORMDIST(K262, Xbar_R!$F$2, Formulas!$C$15, FALSE), NORMDIST(K262, Xbar_R!$D$2, Formulas!$C$15, FALSE))</f>
        <v>4.4289311736858177E-2</v>
      </c>
      <c r="M262" s="143">
        <f t="shared" si="14"/>
        <v>9.9788546305482062E-2</v>
      </c>
      <c r="N262" s="140">
        <f>+IF(K262&gt;=(Formulas!$D$4), M262, 0)</f>
        <v>9.9788546305482062E-2</v>
      </c>
      <c r="O262" s="147">
        <f>+IF(K262&lt;=(Formulas!$D$3), M262, 0)</f>
        <v>0</v>
      </c>
      <c r="P262" s="147">
        <f>NORMDIST(K262,Xbar_R!$I$2,Xbar_R!$K$2/3,FALSE)</f>
        <v>9.8636159368715377E-5</v>
      </c>
      <c r="Q262" s="140">
        <f t="shared" si="15"/>
        <v>2.2181907335369738E-4</v>
      </c>
      <c r="R262" s="135">
        <f t="shared" ref="R262:R316" si="16">+$R$4</f>
        <v>0.79939357602813355</v>
      </c>
    </row>
    <row r="263" spans="10:18" x14ac:dyDescent="0.2">
      <c r="J263" s="142">
        <v>2.06</v>
      </c>
      <c r="K263" s="143">
        <f>IF(ISBLANK(Xbar_R!$D$2), Xbar_R!$F$2+(J263*Formulas!$C$15), Xbar_R!$D$2+(J263*Formulas!$C$15))</f>
        <v>8.8050691458870745</v>
      </c>
      <c r="L263" s="143">
        <f>IF(ISBLANK(Xbar_R!$D$2), NORMDIST(K263, Xbar_R!$F$2, Formulas!$C$15, FALSE), NORMDIST(K263, Xbar_R!$D$2, Formulas!$C$15, FALSE))</f>
        <v>4.2510171550375467E-2</v>
      </c>
      <c r="M263" s="143">
        <f t="shared" si="14"/>
        <v>9.5779953579146593E-2</v>
      </c>
      <c r="N263" s="140">
        <f>+IF(K263&gt;=(Formulas!$D$4), M263, 0)</f>
        <v>9.5779953579146593E-2</v>
      </c>
      <c r="O263" s="147">
        <f>+IF(K263&lt;=(Formulas!$D$3), M263, 0)</f>
        <v>0</v>
      </c>
      <c r="P263" s="147">
        <f>NORMDIST(K263,Xbar_R!$I$2,Xbar_R!$K$2/3,FALSE)</f>
        <v>8.5633161215767717E-5</v>
      </c>
      <c r="Q263" s="140">
        <f t="shared" si="15"/>
        <v>1.9257712983555275E-4</v>
      </c>
      <c r="R263" s="135">
        <f t="shared" si="16"/>
        <v>0.79939357602813355</v>
      </c>
    </row>
    <row r="264" spans="10:18" x14ac:dyDescent="0.2">
      <c r="J264" s="142">
        <v>2.08</v>
      </c>
      <c r="K264" s="143">
        <f>IF(ISBLANK(Xbar_R!$D$2), Xbar_R!$F$2+(J264*Formulas!$C$15), Xbar_R!$D$2+(J264*Formulas!$C$15))</f>
        <v>8.827557681284036</v>
      </c>
      <c r="L264" s="143">
        <f>IF(ISBLANK(Xbar_R!$D$2), NORMDIST(K264, Xbar_R!$F$2, Formulas!$C$15, FALSE), NORMDIST(K264, Xbar_R!$D$2, Formulas!$C$15, FALSE))</f>
        <v>4.0786183236504223E-2</v>
      </c>
      <c r="M264" s="143">
        <f t="shared" si="14"/>
        <v>9.1895623908119409E-2</v>
      </c>
      <c r="N264" s="140">
        <f>+IF(K264&gt;=(Formulas!$D$4), M264, 0)</f>
        <v>9.1895623908119409E-2</v>
      </c>
      <c r="O264" s="147">
        <f>+IF(K264&lt;=(Formulas!$D$3), M264, 0)</f>
        <v>0</v>
      </c>
      <c r="P264" s="147">
        <f>NORMDIST(K264,Xbar_R!$I$2,Xbar_R!$K$2/3,FALSE)</f>
        <v>7.4259772616743039E-5</v>
      </c>
      <c r="Q264" s="140">
        <f t="shared" si="15"/>
        <v>1.6699995270220085E-4</v>
      </c>
      <c r="R264" s="135">
        <f t="shared" si="16"/>
        <v>0.79939357602813355</v>
      </c>
    </row>
    <row r="265" spans="10:18" x14ac:dyDescent="0.2">
      <c r="J265" s="142">
        <v>2.1</v>
      </c>
      <c r="K265" s="143">
        <f>IF(ISBLANK(Xbar_R!$D$2), Xbar_R!$F$2+(J265*Formulas!$C$15), Xbar_R!$D$2+(J265*Formulas!$C$15))</f>
        <v>8.8500462166809974</v>
      </c>
      <c r="L265" s="143">
        <f>IF(ISBLANK(Xbar_R!$D$2), NORMDIST(K265, Xbar_R!$F$2, Formulas!$C$15, FALSE), NORMDIST(K265, Xbar_R!$D$2, Formulas!$C$15, FALSE))</f>
        <v>3.9116461080314954E-2</v>
      </c>
      <c r="M265" s="143">
        <f t="shared" si="14"/>
        <v>8.8133561682132738E-2</v>
      </c>
      <c r="N265" s="140">
        <f>+IF(K265&gt;=(Formulas!$D$4), M265, 0)</f>
        <v>8.8133561682132738E-2</v>
      </c>
      <c r="O265" s="147">
        <f>+IF(K265&lt;=(Formulas!$D$3), M265, 0)</f>
        <v>0</v>
      </c>
      <c r="P265" s="147">
        <f>NORMDIST(K265,Xbar_R!$I$2,Xbar_R!$K$2/3,FALSE)</f>
        <v>6.4323707584153773E-5</v>
      </c>
      <c r="Q265" s="140">
        <f t="shared" si="15"/>
        <v>1.4465511737591708E-4</v>
      </c>
      <c r="R265" s="135">
        <f t="shared" si="16"/>
        <v>0.79939357602813355</v>
      </c>
    </row>
    <row r="266" spans="10:18" x14ac:dyDescent="0.2">
      <c r="J266" s="142">
        <v>2.12</v>
      </c>
      <c r="K266" s="143">
        <f>IF(ISBLANK(Xbar_R!$D$2), Xbar_R!$F$2+(J266*Formulas!$C$15), Xbar_R!$D$2+(J266*Formulas!$C$15))</f>
        <v>8.8725347520779607</v>
      </c>
      <c r="L266" s="143">
        <f>IF(ISBLANK(Xbar_R!$D$2), NORMDIST(K266, Xbar_R!$F$2, Formulas!$C$15, FALSE), NORMDIST(K266, Xbar_R!$D$2, Formulas!$C$15, FALSE))</f>
        <v>3.7500091684464928E-2</v>
      </c>
      <c r="M266" s="143">
        <f t="shared" si="14"/>
        <v>8.4491708919487263E-2</v>
      </c>
      <c r="N266" s="140">
        <f>+IF(K266&gt;=(Formulas!$D$4), M266, 0)</f>
        <v>8.4491708919487263E-2</v>
      </c>
      <c r="O266" s="147">
        <f>+IF(K266&lt;=(Formulas!$D$3), M266, 0)</f>
        <v>0</v>
      </c>
      <c r="P266" s="147">
        <f>NORMDIST(K266,Xbar_R!$I$2,Xbar_R!$K$2/3,FALSE)</f>
        <v>5.5653737886362943E-5</v>
      </c>
      <c r="Q266" s="140">
        <f t="shared" si="15"/>
        <v>1.251575552579564E-4</v>
      </c>
      <c r="R266" s="135">
        <f t="shared" si="16"/>
        <v>0.79939357602813355</v>
      </c>
    </row>
    <row r="267" spans="10:18" x14ac:dyDescent="0.2">
      <c r="J267" s="142">
        <v>2.14</v>
      </c>
      <c r="K267" s="143">
        <f>IF(ISBLANK(Xbar_R!$D$2), Xbar_R!$F$2+(J267*Formulas!$C$15), Xbar_R!$D$2+(J267*Formulas!$C$15))</f>
        <v>8.8950232874749222</v>
      </c>
      <c r="L267" s="143">
        <f>IF(ISBLANK(Xbar_R!$D$2), NORMDIST(K267, Xbar_R!$F$2, Formulas!$C$15, FALSE), NORMDIST(K267, Xbar_R!$D$2, Formulas!$C$15, FALSE))</f>
        <v>3.593613653321253E-2</v>
      </c>
      <c r="M267" s="143">
        <f t="shared" si="14"/>
        <v>8.0967951044050052E-2</v>
      </c>
      <c r="N267" s="140">
        <f>+IF(K267&gt;=(Formulas!$D$4), M267, 0)</f>
        <v>8.0967951044050052E-2</v>
      </c>
      <c r="O267" s="147">
        <f>+IF(K267&lt;=(Formulas!$D$3), M267, 0)</f>
        <v>0</v>
      </c>
      <c r="P267" s="147">
        <f>NORMDIST(K267,Xbar_R!$I$2,Xbar_R!$K$2/3,FALSE)</f>
        <v>4.8097601859016804E-5</v>
      </c>
      <c r="Q267" s="140">
        <f t="shared" si="15"/>
        <v>1.0816485093483959E-4</v>
      </c>
      <c r="R267" s="135">
        <f t="shared" si="16"/>
        <v>0.79939357602813355</v>
      </c>
    </row>
    <row r="268" spans="10:18" x14ac:dyDescent="0.2">
      <c r="J268" s="142">
        <v>2.16</v>
      </c>
      <c r="K268" s="143">
        <f>IF(ISBLANK(Xbar_R!$D$2), Xbar_R!$F$2+(J268*Formulas!$C$15), Xbar_R!$D$2+(J268*Formulas!$C$15))</f>
        <v>8.9175118228718837</v>
      </c>
      <c r="L268" s="143">
        <f>IF(ISBLANK(Xbar_R!$D$2), NORMDIST(K268, Xbar_R!$F$2, Formulas!$C$15, FALSE), NORMDIST(K268, Xbar_R!$D$2, Formulas!$C$15, FALSE))</f>
        <v>3.4423634500168256E-2</v>
      </c>
      <c r="M268" s="143">
        <f t="shared" si="14"/>
        <v>7.756012253548536E-2</v>
      </c>
      <c r="N268" s="140">
        <f>+IF(K268&gt;=(Formulas!$D$4), M268, 0)</f>
        <v>7.756012253548536E-2</v>
      </c>
      <c r="O268" s="147">
        <f>+IF(K268&lt;=(Formulas!$D$3), M268, 0)</f>
        <v>0</v>
      </c>
      <c r="P268" s="147">
        <f>NORMDIST(K268,Xbar_R!$I$2,Xbar_R!$K$2/3,FALSE)</f>
        <v>4.1520093537949856E-5</v>
      </c>
      <c r="Q268" s="140">
        <f t="shared" si="15"/>
        <v>9.3372944902678494E-5</v>
      </c>
      <c r="R268" s="135">
        <f t="shared" si="16"/>
        <v>0.79939357602813355</v>
      </c>
    </row>
    <row r="269" spans="10:18" x14ac:dyDescent="0.2">
      <c r="J269" s="142">
        <v>2.1800000000000002</v>
      </c>
      <c r="K269" s="143">
        <f>IF(ISBLANK(Xbar_R!$D$2), Xbar_R!$F$2+(J269*Formulas!$C$15), Xbar_R!$D$2+(J269*Formulas!$C$15))</f>
        <v>8.9400003582688452</v>
      </c>
      <c r="L269" s="143">
        <f>IF(ISBLANK(Xbar_R!$D$2), NORMDIST(K269, Xbar_R!$F$2, Formulas!$C$15, FALSE), NORMDIST(K269, Xbar_R!$D$2, Formulas!$C$15, FALSE))</f>
        <v>3.296160429621714E-2</v>
      </c>
      <c r="M269" s="143">
        <f t="shared" si="14"/>
        <v>7.4266012444684948E-2</v>
      </c>
      <c r="N269" s="140">
        <f>+IF(K269&gt;=(Formulas!$D$4), M269, 0)</f>
        <v>7.4266012444684948E-2</v>
      </c>
      <c r="O269" s="147">
        <f>+IF(K269&lt;=(Formulas!$D$3), M269, 0)</f>
        <v>0</v>
      </c>
      <c r="P269" s="147">
        <f>NORMDIST(K269,Xbar_R!$I$2,Xbar_R!$K$2/3,FALSE)</f>
        <v>3.5801319952882342E-5</v>
      </c>
      <c r="Q269" s="140">
        <f t="shared" si="15"/>
        <v>8.0512214461853771E-5</v>
      </c>
      <c r="R269" s="135">
        <f t="shared" si="16"/>
        <v>0.79939357602813355</v>
      </c>
    </row>
    <row r="270" spans="10:18" x14ac:dyDescent="0.2">
      <c r="J270" s="142">
        <v>2.2000000000000002</v>
      </c>
      <c r="K270" s="143">
        <f>IF(ISBLANK(Xbar_R!$D$2), Xbar_R!$F$2+(J270*Formulas!$C$15), Xbar_R!$D$2+(J270*Formulas!$C$15))</f>
        <v>8.9624888936658067</v>
      </c>
      <c r="L270" s="143">
        <f>IF(ISBLANK(Xbar_R!$D$2), NORMDIST(K270, Xbar_R!$F$2, Formulas!$C$15, FALSE), NORMDIST(K270, Xbar_R!$D$2, Formulas!$C$15, FALSE))</f>
        <v>3.1549046854357596E-2</v>
      </c>
      <c r="M270" s="143">
        <f t="shared" si="14"/>
        <v>7.1083369767064655E-2</v>
      </c>
      <c r="N270" s="140">
        <f>+IF(K270&gt;=(Formulas!$D$4), M270, 0)</f>
        <v>7.1083369767064655E-2</v>
      </c>
      <c r="O270" s="147">
        <f>+IF(K270&lt;=(Formulas!$D$3), M270, 0)</f>
        <v>0</v>
      </c>
      <c r="P270" s="147">
        <f>NORMDIST(K270,Xbar_R!$I$2,Xbar_R!$K$2/3,FALSE)</f>
        <v>3.0835114820330515E-5</v>
      </c>
      <c r="Q270" s="140">
        <f t="shared" si="15"/>
        <v>6.9343906331879884E-5</v>
      </c>
      <c r="R270" s="135">
        <f t="shared" si="16"/>
        <v>0.79939357602813355</v>
      </c>
    </row>
    <row r="271" spans="10:18" x14ac:dyDescent="0.2">
      <c r="J271" s="142">
        <v>2.2200000000000002</v>
      </c>
      <c r="K271" s="143">
        <f>IF(ISBLANK(Xbar_R!$D$2), Xbar_R!$F$2+(J271*Formulas!$C$15), Xbar_R!$D$2+(J271*Formulas!$C$15))</f>
        <v>8.98497742906277</v>
      </c>
      <c r="L271" s="143">
        <f>IF(ISBLANK(Xbar_R!$D$2), NORMDIST(K271, Xbar_R!$F$2, Formulas!$C$15, FALSE), NORMDIST(K271, Xbar_R!$D$2, Formulas!$C$15, FALSE))</f>
        <v>3.0184947648511092E-2</v>
      </c>
      <c r="M271" s="143">
        <f t="shared" si="14"/>
        <v>6.8009908667089988E-2</v>
      </c>
      <c r="N271" s="140">
        <f>+IF(K271&gt;=(Formulas!$D$4), M271, 0)</f>
        <v>6.8009908667089988E-2</v>
      </c>
      <c r="O271" s="147">
        <f>+IF(K271&lt;=(Formulas!$D$3), M271, 0)</f>
        <v>0</v>
      </c>
      <c r="P271" s="147">
        <f>NORMDIST(K271,Xbar_R!$I$2,Xbar_R!$K$2/3,FALSE)</f>
        <v>2.6527597318598936E-5</v>
      </c>
      <c r="Q271" s="140">
        <f t="shared" si="15"/>
        <v>5.9656895535796655E-5</v>
      </c>
      <c r="R271" s="135">
        <f t="shared" si="16"/>
        <v>0.79939357602813355</v>
      </c>
    </row>
    <row r="272" spans="10:18" x14ac:dyDescent="0.2">
      <c r="J272" s="142">
        <v>2.2400000000000002</v>
      </c>
      <c r="K272" s="143">
        <f>IF(ISBLANK(Xbar_R!$D$2), Xbar_R!$F$2+(J272*Formulas!$C$15), Xbar_R!$D$2+(J272*Formulas!$C$15))</f>
        <v>9.0074659644597315</v>
      </c>
      <c r="L272" s="143">
        <f>IF(ISBLANK(Xbar_R!$D$2), NORMDIST(K272, Xbar_R!$F$2, Formulas!$C$15, FALSE), NORMDIST(K272, Xbar_R!$D$2, Formulas!$C$15, FALSE))</f>
        <v>2.8868278943663627E-2</v>
      </c>
      <c r="M272" s="143">
        <f t="shared" si="14"/>
        <v>6.5043313548085083E-2</v>
      </c>
      <c r="N272" s="140">
        <f>+IF(K272&gt;=(Formulas!$D$4), M272, 0)</f>
        <v>6.5043313548085083E-2</v>
      </c>
      <c r="O272" s="147">
        <f>+IF(K272&lt;=(Formulas!$D$3), M272, 0)</f>
        <v>0</v>
      </c>
      <c r="P272" s="147">
        <f>NORMDIST(K272,Xbar_R!$I$2,Xbar_R!$K$2/3,FALSE)</f>
        <v>2.2795865107083088E-5</v>
      </c>
      <c r="Q272" s="140">
        <f t="shared" si="15"/>
        <v>5.126474618143793E-5</v>
      </c>
      <c r="R272" s="135">
        <f t="shared" si="16"/>
        <v>0.79939357602813355</v>
      </c>
    </row>
    <row r="273" spans="10:18" x14ac:dyDescent="0.2">
      <c r="J273" s="142">
        <v>2.2599999999999998</v>
      </c>
      <c r="K273" s="143">
        <f>IF(ISBLANK(Xbar_R!$D$2), Xbar_R!$F$2+(J273*Formulas!$C$15), Xbar_R!$D$2+(J273*Formulas!$C$15))</f>
        <v>9.029954499856693</v>
      </c>
      <c r="L273" s="143">
        <f>IF(ISBLANK(Xbar_R!$D$2), NORMDIST(K273, Xbar_R!$F$2, Formulas!$C$15, FALSE), NORMDIST(K273, Xbar_R!$D$2, Formulas!$C$15, FALSE))</f>
        <v>2.7598001974997954E-2</v>
      </c>
      <c r="M273" s="143">
        <f t="shared" si="14"/>
        <v>6.2181243962050138E-2</v>
      </c>
      <c r="N273" s="140">
        <f>+IF(K273&gt;=(Formulas!$D$4), M273, 0)</f>
        <v>6.2181243962050138E-2</v>
      </c>
      <c r="O273" s="147">
        <f>+IF(K273&lt;=(Formulas!$D$3), M273, 0)</f>
        <v>0</v>
      </c>
      <c r="P273" s="147">
        <f>NORMDIST(K273,Xbar_R!$I$2,Xbar_R!$K$2/3,FALSE)</f>
        <v>1.9566811257036502E-5</v>
      </c>
      <c r="Q273" s="140">
        <f t="shared" si="15"/>
        <v>4.4003050902437618E-5</v>
      </c>
      <c r="R273" s="135">
        <f t="shared" si="16"/>
        <v>0.79939357602813355</v>
      </c>
    </row>
    <row r="274" spans="10:18" x14ac:dyDescent="0.2">
      <c r="J274" s="142">
        <v>2.2799999999999998</v>
      </c>
      <c r="K274" s="143">
        <f>IF(ISBLANK(Xbar_R!$D$2), Xbar_R!$F$2+(J274*Formulas!$C$15), Xbar_R!$D$2+(J274*Formulas!$C$15))</f>
        <v>9.0524430352536545</v>
      </c>
      <c r="L274" s="143">
        <f>IF(ISBLANK(Xbar_R!$D$2), NORMDIST(K274, Xbar_R!$F$2, Formulas!$C$15, FALSE), NORMDIST(K274, Xbar_R!$D$2, Formulas!$C$15, FALSE))</f>
        <v>2.6373069053974532E-2</v>
      </c>
      <c r="M274" s="143">
        <f t="shared" si="14"/>
        <v>5.9421339354886644E-2</v>
      </c>
      <c r="N274" s="140">
        <f>+IF(K274&gt;=(Formulas!$D$4), M274, 0)</f>
        <v>5.9421339354886644E-2</v>
      </c>
      <c r="O274" s="147">
        <f>+IF(K274&lt;=(Formulas!$D$3), M274, 0)</f>
        <v>0</v>
      </c>
      <c r="P274" s="147">
        <f>NORMDIST(K274,Xbar_R!$I$2,Xbar_R!$K$2/3,FALSE)</f>
        <v>1.6776055283151703E-5</v>
      </c>
      <c r="Q274" s="140">
        <f t="shared" si="15"/>
        <v>3.7727026896176841E-5</v>
      </c>
      <c r="R274" s="135">
        <f t="shared" si="16"/>
        <v>0.79939357602813355</v>
      </c>
    </row>
    <row r="275" spans="10:18" x14ac:dyDescent="0.2">
      <c r="J275" s="142">
        <v>2.2999999999999998</v>
      </c>
      <c r="K275" s="143">
        <f>IF(ISBLANK(Xbar_R!$D$2), Xbar_R!$F$2+(J275*Formulas!$C$15), Xbar_R!$D$2+(J275*Formulas!$C$15))</f>
        <v>9.074931570650616</v>
      </c>
      <c r="L275" s="143">
        <f>IF(ISBLANK(Xbar_R!$D$2), NORMDIST(K275, Xbar_R!$F$2, Formulas!$C$15, FALSE), NORMDIST(K275, Xbar_R!$D$2, Formulas!$C$15, FALSE))</f>
        <v>2.5192425599604041E-2</v>
      </c>
      <c r="M275" s="143">
        <f t="shared" si="14"/>
        <v>5.6761223643071075E-2</v>
      </c>
      <c r="N275" s="140">
        <f>+IF(K275&gt;=(Formulas!$D$4), M275, 0)</f>
        <v>5.6761223643071075E-2</v>
      </c>
      <c r="O275" s="147">
        <f>+IF(K275&lt;=(Formulas!$D$3), M275, 0)</f>
        <v>0</v>
      </c>
      <c r="P275" s="147">
        <f>NORMDIST(K275,Xbar_R!$I$2,Xbar_R!$K$2/3,FALSE)</f>
        <v>1.4366978997362642E-5</v>
      </c>
      <c r="Q275" s="140">
        <f t="shared" si="15"/>
        <v>3.2309347692402137E-5</v>
      </c>
      <c r="R275" s="135">
        <f t="shared" si="16"/>
        <v>0.79939357602813355</v>
      </c>
    </row>
    <row r="276" spans="10:18" x14ac:dyDescent="0.2">
      <c r="J276" s="142">
        <v>2.3199999999999998</v>
      </c>
      <c r="K276" s="143">
        <f>IF(ISBLANK(Xbar_R!$D$2), Xbar_R!$F$2+(J276*Formulas!$C$15), Xbar_R!$D$2+(J276*Formulas!$C$15))</f>
        <v>9.0974201060475792</v>
      </c>
      <c r="L276" s="143">
        <f>IF(ISBLANK(Xbar_R!$D$2), NORMDIST(K276, Xbar_R!$F$2, Formulas!$C$15, FALSE), NORMDIST(K276, Xbar_R!$D$2, Formulas!$C$15, FALSE))</f>
        <v>2.4055012093438383E-2</v>
      </c>
      <c r="M276" s="143">
        <f t="shared" si="14"/>
        <v>5.4198509618458325E-2</v>
      </c>
      <c r="N276" s="140">
        <f>+IF(K276&gt;=(Formulas!$D$4), M276, 0)</f>
        <v>5.4198509618458325E-2</v>
      </c>
      <c r="O276" s="147">
        <f>+IF(K276&lt;=(Formulas!$D$3), M276, 0)</f>
        <v>0</v>
      </c>
      <c r="P276" s="147">
        <f>NORMDIST(K276,Xbar_R!$I$2,Xbar_R!$K$2/3,FALSE)</f>
        <v>1.228985844181219E-5</v>
      </c>
      <c r="Q276" s="140">
        <f t="shared" si="15"/>
        <v>2.7638190990590675E-5</v>
      </c>
      <c r="R276" s="135">
        <f t="shared" si="16"/>
        <v>0.79939357602813355</v>
      </c>
    </row>
    <row r="277" spans="10:18" x14ac:dyDescent="0.2">
      <c r="J277" s="142">
        <v>2.34</v>
      </c>
      <c r="K277" s="143">
        <f>IF(ISBLANK(Xbar_R!$D$2), Xbar_R!$F$2+(J277*Formulas!$C$15), Xbar_R!$D$2+(J277*Formulas!$C$15))</f>
        <v>9.1199086414445407</v>
      </c>
      <c r="L277" s="143">
        <f>IF(ISBLANK(Xbar_R!$D$2), NORMDIST(K277, Xbar_R!$F$2, Formulas!$C$15, FALSE), NORMDIST(K277, Xbar_R!$D$2, Formulas!$C$15, FALSE))</f>
        <v>2.2959765957079964E-2</v>
      </c>
      <c r="M277" s="143">
        <f t="shared" si="14"/>
        <v>5.173080317851049E-2</v>
      </c>
      <c r="N277" s="140">
        <f>+IF(K277&gt;=(Formulas!$D$4), M277, 0)</f>
        <v>5.173080317851049E-2</v>
      </c>
      <c r="O277" s="147">
        <f>+IF(K277&lt;=(Formulas!$D$3), M277, 0)</f>
        <v>0</v>
      </c>
      <c r="P277" s="147">
        <f>NORMDIST(K277,Xbar_R!$I$2,Xbar_R!$K$2/3,FALSE)</f>
        <v>1.0501083691345592E-5</v>
      </c>
      <c r="Q277" s="140">
        <f t="shared" si="15"/>
        <v>2.3615484103720127E-5</v>
      </c>
      <c r="R277" s="135">
        <f t="shared" si="16"/>
        <v>0.79939357602813355</v>
      </c>
    </row>
    <row r="278" spans="10:18" x14ac:dyDescent="0.2">
      <c r="J278" s="142">
        <v>2.36</v>
      </c>
      <c r="K278" s="143">
        <f>IF(ISBLANK(Xbar_R!$D$2), Xbar_R!$F$2+(J278*Formulas!$C$15), Xbar_R!$D$2+(J278*Formulas!$C$15))</f>
        <v>9.1423971768415022</v>
      </c>
      <c r="L278" s="143">
        <f>IF(ISBLANK(Xbar_R!$D$2), NORMDIST(K278, Xbar_R!$F$2, Formulas!$C$15, FALSE), NORMDIST(K278, Xbar_R!$D$2, Formulas!$C$15, FALSE))</f>
        <v>2.1905623351274446E-2</v>
      </c>
      <c r="M278" s="143">
        <f t="shared" si="14"/>
        <v>4.9355707379844828E-2</v>
      </c>
      <c r="N278" s="140">
        <f>+IF(K278&gt;=(Formulas!$D$4), M278, 0)</f>
        <v>4.9355707379844828E-2</v>
      </c>
      <c r="O278" s="147">
        <f>+IF(K278&lt;=(Formulas!$D$3), M278, 0)</f>
        <v>0</v>
      </c>
      <c r="P278" s="147">
        <f>NORMDIST(K278,Xbar_R!$I$2,Xbar_R!$K$2/3,FALSE)</f>
        <v>8.9624588424383926E-6</v>
      </c>
      <c r="Q278" s="140">
        <f t="shared" si="15"/>
        <v>2.0155329730233673E-5</v>
      </c>
      <c r="R278" s="135">
        <f t="shared" si="16"/>
        <v>0.79939357602813355</v>
      </c>
    </row>
    <row r="279" spans="10:18" x14ac:dyDescent="0.2">
      <c r="J279" s="142">
        <v>2.38</v>
      </c>
      <c r="K279" s="143">
        <f>IF(ISBLANK(Xbar_R!$D$2), Xbar_R!$F$2+(J279*Formulas!$C$15), Xbar_R!$D$2+(J279*Formulas!$C$15))</f>
        <v>9.1648857122384637</v>
      </c>
      <c r="L279" s="143">
        <f>IF(ISBLANK(Xbar_R!$D$2), NORMDIST(K279, Xbar_R!$F$2, Formulas!$C$15, FALSE), NORMDIST(K279, Xbar_R!$D$2, Formulas!$C$15, FALSE))</f>
        <v>2.0891520895909427E-2</v>
      </c>
      <c r="M279" s="143">
        <f t="shared" si="14"/>
        <v>4.7070826313574413E-2</v>
      </c>
      <c r="N279" s="140">
        <f>+IF(K279&gt;=(Formulas!$D$4), M279, 0)</f>
        <v>4.7070826313574413E-2</v>
      </c>
      <c r="O279" s="147">
        <f>+IF(K279&lt;=(Formulas!$D$3), M279, 0)</f>
        <v>0</v>
      </c>
      <c r="P279" s="147">
        <f>NORMDIST(K279,Xbar_R!$I$2,Xbar_R!$K$2/3,FALSE)</f>
        <v>7.6405750211544218E-6</v>
      </c>
      <c r="Q279" s="140">
        <f t="shared" si="15"/>
        <v>1.7182595935699333E-5</v>
      </c>
      <c r="R279" s="135">
        <f t="shared" si="16"/>
        <v>0.79939357602813355</v>
      </c>
    </row>
    <row r="280" spans="10:18" x14ac:dyDescent="0.2">
      <c r="J280" s="142">
        <v>2.4</v>
      </c>
      <c r="K280" s="143">
        <f>IF(ISBLANK(Xbar_R!$D$2), Xbar_R!$F$2+(J280*Formulas!$C$15), Xbar_R!$D$2+(J280*Formulas!$C$15))</f>
        <v>9.1873742476354252</v>
      </c>
      <c r="L280" s="143">
        <f>IF(ISBLANK(Xbar_R!$D$2), NORMDIST(K280, Xbar_R!$F$2, Formulas!$C$15, FALSE), NORMDIST(K280, Xbar_R!$D$2, Formulas!$C$15, FALSE))</f>
        <v>1.9916397310487697E-2</v>
      </c>
      <c r="M280" s="143">
        <f t="shared" si="14"/>
        <v>4.4873768801469427E-2</v>
      </c>
      <c r="N280" s="140">
        <f>+IF(K280&gt;=(Formulas!$D$4), M280, 0)</f>
        <v>4.4873768801469427E-2</v>
      </c>
      <c r="O280" s="147">
        <f>+IF(K280&lt;=(Formulas!$D$3), M280, 0)</f>
        <v>0</v>
      </c>
      <c r="P280" s="147">
        <f>NORMDIST(K280,Xbar_R!$I$2,Xbar_R!$K$2/3,FALSE)</f>
        <v>6.506249744212926E-6</v>
      </c>
      <c r="Q280" s="140">
        <f t="shared" si="15"/>
        <v>1.4631655353430029E-5</v>
      </c>
      <c r="R280" s="135">
        <f t="shared" si="16"/>
        <v>0.79939357602813355</v>
      </c>
    </row>
    <row r="281" spans="10:18" x14ac:dyDescent="0.2">
      <c r="J281" s="142">
        <v>2.42</v>
      </c>
      <c r="K281" s="143">
        <f>IF(ISBLANK(Xbar_R!$D$2), Xbar_R!$F$2+(J281*Formulas!$C$15), Xbar_R!$D$2+(J281*Formulas!$C$15))</f>
        <v>9.2098627830323885</v>
      </c>
      <c r="L281" s="143">
        <f>IF(ISBLANK(Xbar_R!$D$2), NORMDIST(K281, Xbar_R!$F$2, Formulas!$C$15, FALSE), NORMDIST(K281, Xbar_R!$D$2, Formulas!$C$15, FALSE))</f>
        <v>1.8979194974881125E-2</v>
      </c>
      <c r="M281" s="143">
        <f t="shared" si="14"/>
        <v>4.2762151912502239E-2</v>
      </c>
      <c r="N281" s="140">
        <f>+IF(K281&gt;=(Formulas!$D$4), M281, 0)</f>
        <v>4.2762151912502239E-2</v>
      </c>
      <c r="O281" s="147">
        <f>+IF(K281&lt;=(Formulas!$D$3), M281, 0)</f>
        <v>0</v>
      </c>
      <c r="P281" s="147">
        <f>NORMDIST(K281,Xbar_R!$I$2,Xbar_R!$K$2/3,FALSE)</f>
        <v>5.5340264518612963E-6</v>
      </c>
      <c r="Q281" s="140">
        <f t="shared" si="15"/>
        <v>1.2445259703167922E-5</v>
      </c>
      <c r="R281" s="135">
        <f t="shared" si="16"/>
        <v>0.79939357602813355</v>
      </c>
    </row>
    <row r="282" spans="10:18" x14ac:dyDescent="0.2">
      <c r="J282" s="142">
        <v>2.44</v>
      </c>
      <c r="K282" s="143">
        <f>IF(ISBLANK(Xbar_R!$D$2), Xbar_R!$F$2+(J282*Formulas!$C$15), Xbar_R!$D$2+(J282*Formulas!$C$15))</f>
        <v>9.23235131842935</v>
      </c>
      <c r="L282" s="143">
        <f>IF(ISBLANK(Xbar_R!$D$2), NORMDIST(K282, Xbar_R!$F$2, Formulas!$C$15, FALSE), NORMDIST(K282, Xbar_R!$D$2, Formulas!$C$15, FALSE))</f>
        <v>1.8078861410398585E-2</v>
      </c>
      <c r="M282" s="143">
        <f t="shared" si="14"/>
        <v>4.0733604299851553E-2</v>
      </c>
      <c r="N282" s="140">
        <f>+IF(K282&gt;=(Formulas!$D$4), M282, 0)</f>
        <v>4.0733604299851553E-2</v>
      </c>
      <c r="O282" s="147">
        <f>+IF(K282&lt;=(Formulas!$D$3), M282, 0)</f>
        <v>0</v>
      </c>
      <c r="P282" s="147">
        <f>NORMDIST(K282,Xbar_R!$I$2,Xbar_R!$K$2/3,FALSE)</f>
        <v>4.7017284968624348E-6</v>
      </c>
      <c r="Q282" s="140">
        <f t="shared" si="15"/>
        <v>1.057353677403509E-5</v>
      </c>
      <c r="R282" s="135">
        <f t="shared" si="16"/>
        <v>0.79939357602813355</v>
      </c>
    </row>
    <row r="283" spans="10:18" x14ac:dyDescent="0.2">
      <c r="J283" s="142">
        <v>2.46</v>
      </c>
      <c r="K283" s="143">
        <f>IF(ISBLANK(Xbar_R!$D$2), Xbar_R!$F$2+(J283*Formulas!$C$15), Xbar_R!$D$2+(J283*Formulas!$C$15))</f>
        <v>9.2548398538263115</v>
      </c>
      <c r="L283" s="143">
        <f>IF(ISBLANK(Xbar_R!$D$2), NORMDIST(K283, Xbar_R!$F$2, Formulas!$C$15, FALSE), NORMDIST(K283, Xbar_R!$D$2, Formulas!$C$15, FALSE))</f>
        <v>1.7214350681416045E-2</v>
      </c>
      <c r="M283" s="143">
        <f t="shared" si="14"/>
        <v>3.8785769358924554E-2</v>
      </c>
      <c r="N283" s="140">
        <f>+IF(K283&gt;=(Formulas!$D$4), M283, 0)</f>
        <v>3.8785769358924554E-2</v>
      </c>
      <c r="O283" s="147">
        <f>+IF(K283&lt;=(Formulas!$D$3), M283, 0)</f>
        <v>0</v>
      </c>
      <c r="P283" s="147">
        <f>NORMDIST(K283,Xbar_R!$I$2,Xbar_R!$K$2/3,FALSE)</f>
        <v>3.9900623189117336E-6</v>
      </c>
      <c r="Q283" s="140">
        <f t="shared" si="15"/>
        <v>8.9730980187092079E-6</v>
      </c>
      <c r="R283" s="135">
        <f t="shared" si="16"/>
        <v>0.79939357602813355</v>
      </c>
    </row>
    <row r="284" spans="10:18" x14ac:dyDescent="0.2">
      <c r="J284" s="142">
        <v>2.48</v>
      </c>
      <c r="K284" s="143">
        <f>IF(ISBLANK(Xbar_R!$D$2), Xbar_R!$F$2+(J284*Formulas!$C$15), Xbar_R!$D$2+(J284*Formulas!$C$15))</f>
        <v>9.2773283892232747</v>
      </c>
      <c r="L284" s="143">
        <f>IF(ISBLANK(Xbar_R!$D$2), NORMDIST(K284, Xbar_R!$F$2, Formulas!$C$15, FALSE), NORMDIST(K284, Xbar_R!$D$2, Formulas!$C$15, FALSE))</f>
        <v>1.6384624718024925E-2</v>
      </c>
      <c r="M284" s="143">
        <f t="shared" si="14"/>
        <v>3.6916308207424871E-2</v>
      </c>
      <c r="N284" s="140">
        <f>+IF(K284&gt;=(Formulas!$D$4), M284, 0)</f>
        <v>3.6916308207424871E-2</v>
      </c>
      <c r="O284" s="147">
        <f>+IF(K284&lt;=(Formulas!$D$3), M284, 0)</f>
        <v>0</v>
      </c>
      <c r="P284" s="147">
        <f>NORMDIST(K284,Xbar_R!$I$2,Xbar_R!$K$2/3,FALSE)</f>
        <v>3.3822649570410235E-6</v>
      </c>
      <c r="Q284" s="140">
        <f t="shared" si="15"/>
        <v>7.6062458575965347E-6</v>
      </c>
      <c r="R284" s="135">
        <f t="shared" si="16"/>
        <v>0.79939357602813355</v>
      </c>
    </row>
    <row r="285" spans="10:18" x14ac:dyDescent="0.2">
      <c r="J285" s="142">
        <v>2.5</v>
      </c>
      <c r="K285" s="143">
        <f>IF(ISBLANK(Xbar_R!$D$2), Xbar_R!$F$2+(J285*Formulas!$C$15), Xbar_R!$D$2+(J285*Formulas!$C$15))</f>
        <v>9.2998169246202362</v>
      </c>
      <c r="L285" s="143">
        <f>IF(ISBLANK(Xbar_R!$D$2), NORMDIST(K285, Xbar_R!$F$2, Formulas!$C$15, FALSE), NORMDIST(K285, Xbar_R!$D$2, Formulas!$C$15, FALSE))</f>
        <v>1.5588654560346809E-2</v>
      </c>
      <c r="M285" s="143">
        <f t="shared" si="14"/>
        <v>3.5122902488926369E-2</v>
      </c>
      <c r="N285" s="140">
        <f>+IF(K285&gt;=(Formulas!$D$4), M285, 0)</f>
        <v>3.5122902488926369E-2</v>
      </c>
      <c r="O285" s="147">
        <f>+IF(K285&lt;=(Formulas!$D$3), M285, 0)</f>
        <v>0</v>
      </c>
      <c r="P285" s="147">
        <f>NORMDIST(K285,Xbar_R!$I$2,Xbar_R!$K$2/3,FALSE)</f>
        <v>2.8637914532839469E-6</v>
      </c>
      <c r="Q285" s="140">
        <f t="shared" si="15"/>
        <v>6.440270692931754E-6</v>
      </c>
      <c r="R285" s="135">
        <f t="shared" si="16"/>
        <v>0.79939357602813355</v>
      </c>
    </row>
    <row r="286" spans="10:18" x14ac:dyDescent="0.2">
      <c r="J286" s="142">
        <v>2.52</v>
      </c>
      <c r="K286" s="143">
        <f>IF(ISBLANK(Xbar_R!$D$2), Xbar_R!$F$2+(J286*Formulas!$C$15), Xbar_R!$D$2+(J286*Formulas!$C$15))</f>
        <v>9.3223054600171977</v>
      </c>
      <c r="L286" s="143">
        <f>IF(ISBLANK(Xbar_R!$D$2), NORMDIST(K286, Xbar_R!$F$2, Formulas!$C$15, FALSE), NORMDIST(K286, Xbar_R!$D$2, Formulas!$C$15, FALSE))</f>
        <v>1.4825421525345866E-2</v>
      </c>
      <c r="M286" s="143">
        <f t="shared" si="14"/>
        <v>3.3403257001826094E-2</v>
      </c>
      <c r="N286" s="140">
        <f>+IF(K286&gt;=(Formulas!$D$4), M286, 0)</f>
        <v>3.3403257001826094E-2</v>
      </c>
      <c r="O286" s="147">
        <f>+IF(K286&lt;=(Formulas!$D$3), M286, 0)</f>
        <v>0</v>
      </c>
      <c r="P286" s="147">
        <f>NORMDIST(K286,Xbar_R!$I$2,Xbar_R!$K$2/3,FALSE)</f>
        <v>2.4220380786667057E-6</v>
      </c>
      <c r="Q286" s="140">
        <f t="shared" si="15"/>
        <v>5.4468284823305909E-6</v>
      </c>
      <c r="R286" s="135">
        <f t="shared" si="16"/>
        <v>0.79939357602813355</v>
      </c>
    </row>
    <row r="287" spans="10:18" x14ac:dyDescent="0.2">
      <c r="J287" s="142">
        <v>2.54</v>
      </c>
      <c r="K287" s="143">
        <f>IF(ISBLANK(Xbar_R!$D$2), Xbar_R!$F$2+(J287*Formulas!$C$15), Xbar_R!$D$2+(J287*Formulas!$C$15))</f>
        <v>9.3447939954141592</v>
      </c>
      <c r="L287" s="143">
        <f>IF(ISBLANK(Xbar_R!$D$2), NORMDIST(K287, Xbar_R!$F$2, Formulas!$C$15, FALSE), NORMDIST(K287, Xbar_R!$D$2, Formulas!$C$15, FALSE))</f>
        <v>1.4093918297144226E-2</v>
      </c>
      <c r="M287" s="143">
        <f t="shared" si="14"/>
        <v>3.1755102155941212E-2</v>
      </c>
      <c r="N287" s="140">
        <f>+IF(K287&gt;=(Formulas!$D$4), M287, 0)</f>
        <v>3.1755102155941212E-2</v>
      </c>
      <c r="O287" s="147">
        <f>+IF(K287&lt;=(Formulas!$D$3), M287, 0)</f>
        <v>0</v>
      </c>
      <c r="P287" s="147">
        <f>NORMDIST(K287,Xbar_R!$I$2,Xbar_R!$K$2/3,FALSE)</f>
        <v>2.0460976673428716E-6</v>
      </c>
      <c r="Q287" s="140">
        <f t="shared" si="15"/>
        <v>4.6013905191153495E-6</v>
      </c>
      <c r="R287" s="135">
        <f t="shared" si="16"/>
        <v>0.79939357602813355</v>
      </c>
    </row>
    <row r="288" spans="10:18" x14ac:dyDescent="0.2">
      <c r="J288" s="142">
        <v>2.56</v>
      </c>
      <c r="K288" s="143">
        <f>IF(ISBLANK(Xbar_R!$D$2), Xbar_R!$F$2+(J288*Formulas!$C$15), Xbar_R!$D$2+(J288*Formulas!$C$15))</f>
        <v>9.3672825308111207</v>
      </c>
      <c r="L288" s="143">
        <f>IF(ISBLANK(Xbar_R!$D$2), NORMDIST(K288, Xbar_R!$F$2, Formulas!$C$15, FALSE), NORMDIST(K288, Xbar_R!$D$2, Formulas!$C$15, FALSE))</f>
        <v>1.3393149942002866E-2</v>
      </c>
      <c r="M288" s="143">
        <f t="shared" si="14"/>
        <v>3.017619625936923E-2</v>
      </c>
      <c r="N288" s="140">
        <f>+IF(K288&gt;=(Formulas!$D$4), M288, 0)</f>
        <v>3.017619625936923E-2</v>
      </c>
      <c r="O288" s="147">
        <f>+IF(K288&lt;=(Formulas!$D$3), M288, 0)</f>
        <v>0</v>
      </c>
      <c r="P288" s="147">
        <f>NORMDIST(K288,Xbar_R!$I$2,Xbar_R!$K$2/3,FALSE)</f>
        <v>1.7265436765582499E-6</v>
      </c>
      <c r="Q288" s="140">
        <f t="shared" si="15"/>
        <v>3.882757813057221E-6</v>
      </c>
      <c r="R288" s="135">
        <f t="shared" si="16"/>
        <v>0.79939357602813355</v>
      </c>
    </row>
    <row r="289" spans="10:18" x14ac:dyDescent="0.2">
      <c r="J289" s="142">
        <v>2.58</v>
      </c>
      <c r="K289" s="143">
        <f>IF(ISBLANK(Xbar_R!$D$2), Xbar_R!$F$2+(J289*Formulas!$C$15), Xbar_R!$D$2+(J289*Formulas!$C$15))</f>
        <v>9.389771066208084</v>
      </c>
      <c r="L289" s="143">
        <f>IF(ISBLANK(Xbar_R!$D$2), NORMDIST(K289, Xbar_R!$F$2, Formulas!$C$15, FALSE), NORMDIST(K289, Xbar_R!$D$2, Formulas!$C$15, FALSE))</f>
        <v>1.2722134849281688E-2</v>
      </c>
      <c r="M289" s="143">
        <f t="shared" si="14"/>
        <v>2.8664327638571498E-2</v>
      </c>
      <c r="N289" s="140">
        <f>+IF(K289&gt;=(Formulas!$D$4), M289, 0)</f>
        <v>2.8664327638571498E-2</v>
      </c>
      <c r="O289" s="147">
        <f>+IF(K289&lt;=(Formulas!$D$3), M289, 0)</f>
        <v>0</v>
      </c>
      <c r="P289" s="147">
        <f>NORMDIST(K289,Xbar_R!$I$2,Xbar_R!$K$2/3,FALSE)</f>
        <v>1.4552398994851583E-6</v>
      </c>
      <c r="Q289" s="140">
        <f t="shared" si="15"/>
        <v>3.272633160872124E-6</v>
      </c>
      <c r="R289" s="135">
        <f t="shared" si="16"/>
        <v>0.79939357602813355</v>
      </c>
    </row>
    <row r="290" spans="10:18" x14ac:dyDescent="0.2">
      <c r="J290" s="142">
        <v>2.6</v>
      </c>
      <c r="K290" s="143">
        <f>IF(ISBLANK(Xbar_R!$D$2), Xbar_R!$F$2+(J290*Formulas!$C$15), Xbar_R!$D$2+(J290*Formulas!$C$15))</f>
        <v>9.4122596016050455</v>
      </c>
      <c r="L290" s="143">
        <f>IF(ISBLANK(Xbar_R!$D$2), NORMDIST(K290, Xbar_R!$F$2, Formulas!$C$15, FALSE), NORMDIST(K290, Xbar_R!$D$2, Formulas!$C$15, FALSE))</f>
        <v>1.2079905599828978E-2</v>
      </c>
      <c r="M290" s="143">
        <f t="shared" si="14"/>
        <v>2.721731659494734E-2</v>
      </c>
      <c r="N290" s="140">
        <f>+IF(K290&gt;=(Formulas!$D$4), M290, 0)</f>
        <v>2.721731659494734E-2</v>
      </c>
      <c r="O290" s="147">
        <f>+IF(K290&lt;=(Formulas!$D$3), M290, 0)</f>
        <v>0</v>
      </c>
      <c r="P290" s="147">
        <f>NORMDIST(K290,Xbar_R!$I$2,Xbar_R!$K$2/3,FALSE)</f>
        <v>1.2251730453479026E-6</v>
      </c>
      <c r="Q290" s="140">
        <f t="shared" si="15"/>
        <v>2.7552446420901097E-6</v>
      </c>
      <c r="R290" s="135">
        <f t="shared" si="16"/>
        <v>0.79939357602813355</v>
      </c>
    </row>
    <row r="291" spans="10:18" x14ac:dyDescent="0.2">
      <c r="J291" s="142">
        <v>2.62</v>
      </c>
      <c r="K291" s="143">
        <f>IF(ISBLANK(Xbar_R!$D$2), Xbar_R!$F$2+(J291*Formulas!$C$15), Xbar_R!$D$2+(J291*Formulas!$C$15))</f>
        <v>9.434748137002007</v>
      </c>
      <c r="L291" s="143">
        <f>IF(ISBLANK(Xbar_R!$D$2), NORMDIST(K291, Xbar_R!$F$2, Formulas!$C$15, FALSE), NORMDIST(K291, Xbar_R!$D$2, Formulas!$C$15, FALSE))</f>
        <v>1.1465509763376571E-2</v>
      </c>
      <c r="M291" s="143">
        <f t="shared" si="14"/>
        <v>2.5833017201450471E-2</v>
      </c>
      <c r="N291" s="140">
        <f>+IF(K291&gt;=(Formulas!$D$4), M291, 0)</f>
        <v>2.5833017201450471E-2</v>
      </c>
      <c r="O291" s="147">
        <f>+IF(K291&lt;=(Formulas!$D$3), M291, 0)</f>
        <v>0</v>
      </c>
      <c r="P291" s="147">
        <f>NORMDIST(K291,Xbar_R!$I$2,Xbar_R!$K$2/3,FALSE)</f>
        <v>1.0303056673664775E-6</v>
      </c>
      <c r="Q291" s="140">
        <f t="shared" si="15"/>
        <v>2.3170148743522729E-6</v>
      </c>
      <c r="R291" s="135">
        <f t="shared" si="16"/>
        <v>0.79939357602813355</v>
      </c>
    </row>
    <row r="292" spans="10:18" x14ac:dyDescent="0.2">
      <c r="J292" s="142">
        <v>2.64</v>
      </c>
      <c r="K292" s="143">
        <f>IF(ISBLANK(Xbar_R!$D$2), Xbar_R!$F$2+(J292*Formulas!$C$15), Xbar_R!$D$2+(J292*Formulas!$C$15))</f>
        <v>9.4572366723989685</v>
      </c>
      <c r="L292" s="143">
        <f>IF(ISBLANK(Xbar_R!$D$2), NORMDIST(K292, Xbar_R!$F$2, Formulas!$C$15, FALSE), NORMDIST(K292, Xbar_R!$D$2, Formulas!$C$15, FALSE))</f>
        <v>1.0878010626632824E-2</v>
      </c>
      <c r="M292" s="143">
        <f t="shared" si="14"/>
        <v>2.4509318943060177E-2</v>
      </c>
      <c r="N292" s="140">
        <f>+IF(K292&gt;=(Formulas!$D$4), M292, 0)</f>
        <v>2.4509318943060177E-2</v>
      </c>
      <c r="O292" s="147">
        <f>+IF(K292&lt;=(Formulas!$D$3), M292, 0)</f>
        <v>0</v>
      </c>
      <c r="P292" s="147">
        <f>NORMDIST(K292,Xbar_R!$I$2,Xbar_R!$K$2/3,FALSE)</f>
        <v>8.6544716468197396E-7</v>
      </c>
      <c r="Q292" s="140">
        <f t="shared" si="15"/>
        <v>1.9462709145914755E-6</v>
      </c>
      <c r="R292" s="135">
        <f t="shared" si="16"/>
        <v>0.79939357602813355</v>
      </c>
    </row>
    <row r="293" spans="10:18" x14ac:dyDescent="0.2">
      <c r="J293" s="142">
        <v>2.66</v>
      </c>
      <c r="K293" s="143">
        <f>IF(ISBLANK(Xbar_R!$D$2), Xbar_R!$F$2+(J293*Formulas!$C$15), Xbar_R!$D$2+(J293*Formulas!$C$15))</f>
        <v>9.47972520779593</v>
      </c>
      <c r="L293" s="143">
        <f>IF(ISBLANK(Xbar_R!$D$2), NORMDIST(K293, Xbar_R!$F$2, Formulas!$C$15, FALSE), NORMDIST(K293, Xbar_R!$D$2, Formulas!$C$15, FALSE))</f>
        <v>1.0316487853868619E-2</v>
      </c>
      <c r="M293" s="143">
        <f t="shared" si="14"/>
        <v>2.3244148205152058E-2</v>
      </c>
      <c r="N293" s="140">
        <f>+IF(K293&gt;=(Formulas!$D$4), M293, 0)</f>
        <v>2.3244148205152058E-2</v>
      </c>
      <c r="O293" s="147">
        <f>+IF(K293&lt;=(Formulas!$D$3), M293, 0)</f>
        <v>0</v>
      </c>
      <c r="P293" s="147">
        <f>NORMDIST(K293,Xbar_R!$I$2,Xbar_R!$K$2/3,FALSE)</f>
        <v>7.2614081048783257E-7</v>
      </c>
      <c r="Q293" s="140">
        <f t="shared" si="15"/>
        <v>1.63299020093235E-6</v>
      </c>
      <c r="R293" s="135">
        <f t="shared" si="16"/>
        <v>0.79939357602813355</v>
      </c>
    </row>
    <row r="294" spans="10:18" x14ac:dyDescent="0.2">
      <c r="J294" s="142">
        <v>2.68</v>
      </c>
      <c r="K294" s="143">
        <f>IF(ISBLANK(Xbar_R!$D$2), Xbar_R!$F$2+(J294*Formulas!$C$15), Xbar_R!$D$2+(J294*Formulas!$C$15))</f>
        <v>9.5022137431928932</v>
      </c>
      <c r="L294" s="143">
        <f>IF(ISBLANK(Xbar_R!$D$2), NORMDIST(K294, Xbar_R!$F$2, Formulas!$C$15, FALSE), NORMDIST(K294, Xbar_R!$D$2, Formulas!$C$15, FALSE))</f>
        <v>9.7800380818852325E-3</v>
      </c>
      <c r="M294" s="143">
        <f t="shared" si="14"/>
        <v>2.2035469614024174E-2</v>
      </c>
      <c r="N294" s="140">
        <f>+IF(K294&gt;=(Formulas!$D$4), M294, 0)</f>
        <v>2.2035469614024174E-2</v>
      </c>
      <c r="O294" s="147">
        <f>+IF(K294&lt;=(Formulas!$D$3), M294, 0)</f>
        <v>0</v>
      </c>
      <c r="P294" s="147">
        <f>NORMDIST(K294,Xbar_R!$I$2,Xbar_R!$K$2/3,FALSE)</f>
        <v>6.0856496603754109E-7</v>
      </c>
      <c r="Q294" s="140">
        <f t="shared" si="15"/>
        <v>1.3685783966644098E-6</v>
      </c>
      <c r="R294" s="135">
        <f t="shared" si="16"/>
        <v>0.79939357602813355</v>
      </c>
    </row>
    <row r="295" spans="10:18" x14ac:dyDescent="0.2">
      <c r="J295" s="142">
        <v>2.7</v>
      </c>
      <c r="K295" s="143">
        <f>IF(ISBLANK(Xbar_R!$D$2), Xbar_R!$F$2+(J295*Formulas!$C$15), Xbar_R!$D$2+(J295*Formulas!$C$15))</f>
        <v>9.5247022785898547</v>
      </c>
      <c r="L295" s="143">
        <f>IF(ISBLANK(Xbar_R!$D$2), NORMDIST(K295, Xbar_R!$F$2, Formulas!$C$15, FALSE), NORMDIST(K295, Xbar_R!$D$2, Formulas!$C$15, FALSE))</f>
        <v>9.2677754513354575E-3</v>
      </c>
      <c r="M295" s="143">
        <f t="shared" si="14"/>
        <v>2.0881287234020215E-2</v>
      </c>
      <c r="N295" s="140">
        <f>+IF(K295&gt;=(Formulas!$D$4), M295, 0)</f>
        <v>2.0881287234020215E-2</v>
      </c>
      <c r="O295" s="147">
        <f>+IF(K295&lt;=(Formulas!$D$3), M295, 0)</f>
        <v>0</v>
      </c>
      <c r="P295" s="147">
        <f>NORMDIST(K295,Xbar_R!$I$2,Xbar_R!$K$2/3,FALSE)</f>
        <v>5.0944683003163275E-7</v>
      </c>
      <c r="Q295" s="140">
        <f t="shared" si="15"/>
        <v>1.1456754245485899E-6</v>
      </c>
      <c r="R295" s="135">
        <f t="shared" si="16"/>
        <v>0.79939357602813355</v>
      </c>
    </row>
    <row r="296" spans="10:18" x14ac:dyDescent="0.2">
      <c r="J296" s="142">
        <v>2.72</v>
      </c>
      <c r="K296" s="143">
        <f>IF(ISBLANK(Xbar_R!$D$2), Xbar_R!$F$2+(J296*Formulas!$C$15), Xbar_R!$D$2+(J296*Formulas!$C$15))</f>
        <v>9.5471908139868162</v>
      </c>
      <c r="L296" s="143">
        <f>IF(ISBLANK(Xbar_R!$D$2), NORMDIST(K296, Xbar_R!$F$2, Formulas!$C$15, FALSE), NORMDIST(K296, Xbar_R!$D$2, Formulas!$C$15, FALSE))</f>
        <v>8.7788320764407811E-3</v>
      </c>
      <c r="M296" s="143">
        <f t="shared" si="14"/>
        <v>1.9779645625852445E-2</v>
      </c>
      <c r="N296" s="140">
        <f>+IF(K296&gt;=(Formulas!$D$4), M296, 0)</f>
        <v>1.9779645625852445E-2</v>
      </c>
      <c r="O296" s="147">
        <f>+IF(K296&lt;=(Formulas!$D$3), M296, 0)</f>
        <v>0</v>
      </c>
      <c r="P296" s="147">
        <f>NORMDIST(K296,Xbar_R!$I$2,Xbar_R!$K$2/3,FALSE)</f>
        <v>4.2598724613177523E-7</v>
      </c>
      <c r="Q296" s="140">
        <f t="shared" si="15"/>
        <v>9.5798636932141171E-7</v>
      </c>
      <c r="R296" s="135">
        <f t="shared" si="16"/>
        <v>0.79939357602813355</v>
      </c>
    </row>
    <row r="297" spans="10:18" x14ac:dyDescent="0.2">
      <c r="J297" s="142">
        <v>2.74</v>
      </c>
      <c r="K297" s="143">
        <f>IF(ISBLANK(Xbar_R!$D$2), Xbar_R!$F$2+(J297*Formulas!$C$15), Xbar_R!$D$2+(J297*Formulas!$C$15))</f>
        <v>9.5696793493837795</v>
      </c>
      <c r="L297" s="143">
        <f>IF(ISBLANK(Xbar_R!$D$2), NORMDIST(K297, Xbar_R!$F$2, Formulas!$C$15, FALSE), NORMDIST(K297, Xbar_R!$D$2, Formulas!$C$15, FALSE))</f>
        <v>8.3123584552108765E-3</v>
      </c>
      <c r="M297" s="143">
        <f t="shared" si="14"/>
        <v>1.8728630770870003E-2</v>
      </c>
      <c r="N297" s="140">
        <f>+IF(K297&gt;=(Formulas!$D$4), M297, 0)</f>
        <v>1.8728630770870003E-2</v>
      </c>
      <c r="O297" s="147">
        <f>+IF(K297&lt;=(Formulas!$D$3), M297, 0)</f>
        <v>0</v>
      </c>
      <c r="P297" s="147">
        <f>NORMDIST(K297,Xbar_R!$I$2,Xbar_R!$K$2/3,FALSE)</f>
        <v>3.5579524904287291E-7</v>
      </c>
      <c r="Q297" s="140">
        <f t="shared" si="15"/>
        <v>8.0013428089100922E-7</v>
      </c>
      <c r="R297" s="135">
        <f t="shared" si="16"/>
        <v>0.79939357602813355</v>
      </c>
    </row>
    <row r="298" spans="10:18" x14ac:dyDescent="0.2">
      <c r="J298" s="142">
        <v>2.76</v>
      </c>
      <c r="K298" s="143">
        <f>IF(ISBLANK(Xbar_R!$D$2), Xbar_R!$F$2+(J298*Formulas!$C$15), Xbar_R!$D$2+(J298*Formulas!$C$15))</f>
        <v>9.5921678847807392</v>
      </c>
      <c r="L298" s="143">
        <f>IF(ISBLANK(Xbar_R!$D$2), NORMDIST(K298, Xbar_R!$F$2, Formulas!$C$15, FALSE), NORMDIST(K298, Xbar_R!$D$2, Formulas!$C$15, FALSE))</f>
        <v>7.8675238223226973E-3</v>
      </c>
      <c r="M298" s="143">
        <f t="shared" si="14"/>
        <v>1.772637086613315E-2</v>
      </c>
      <c r="N298" s="140">
        <f>+IF(K298&gt;=(Formulas!$D$4), M298, 0)</f>
        <v>1.772637086613315E-2</v>
      </c>
      <c r="O298" s="147">
        <f>+IF(K298&lt;=(Formulas!$D$3), M298, 0)</f>
        <v>0</v>
      </c>
      <c r="P298" s="147">
        <f>NORMDIST(K298,Xbar_R!$I$2,Xbar_R!$K$2/3,FALSE)</f>
        <v>2.9683117277504013E-7</v>
      </c>
      <c r="Q298" s="140">
        <f t="shared" si="15"/>
        <v>6.67532232690866E-7</v>
      </c>
      <c r="R298" s="135">
        <f t="shared" si="16"/>
        <v>0.79939357602813355</v>
      </c>
    </row>
    <row r="299" spans="10:18" x14ac:dyDescent="0.2">
      <c r="J299" s="142">
        <v>2.78</v>
      </c>
      <c r="K299" s="143">
        <f>IF(ISBLANK(Xbar_R!$D$2), Xbar_R!$F$2+(J299*Formulas!$C$15), Xbar_R!$D$2+(J299*Formulas!$C$15))</f>
        <v>9.6146564201777025</v>
      </c>
      <c r="L299" s="143">
        <f>IF(ISBLANK(Xbar_R!$D$2), NORMDIST(K299, Xbar_R!$F$2, Formulas!$C$15, FALSE), NORMDIST(K299, Xbar_R!$D$2, Formulas!$C$15, FALSE))</f>
        <v>7.4435164468591736E-3</v>
      </c>
      <c r="M299" s="143">
        <f t="shared" si="14"/>
        <v>1.677103699525035E-2</v>
      </c>
      <c r="N299" s="140">
        <f>+IF(K299&gt;=(Formulas!$D$4), M299, 0)</f>
        <v>1.677103699525035E-2</v>
      </c>
      <c r="O299" s="147">
        <f>+IF(K299&lt;=(Formulas!$D$3), M299, 0)</f>
        <v>0</v>
      </c>
      <c r="P299" s="147">
        <f>NORMDIST(K299,Xbar_R!$I$2,Xbar_R!$K$2/3,FALSE)</f>
        <v>2.4735727436197352E-7</v>
      </c>
      <c r="Q299" s="140">
        <f t="shared" si="15"/>
        <v>5.5627228125502246E-7</v>
      </c>
      <c r="R299" s="135">
        <f t="shared" si="16"/>
        <v>0.79939357602813355</v>
      </c>
    </row>
    <row r="300" spans="10:18" x14ac:dyDescent="0.2">
      <c r="J300" s="142">
        <v>2.8</v>
      </c>
      <c r="K300" s="143">
        <f>IF(ISBLANK(Xbar_R!$D$2), Xbar_R!$F$2+(J300*Formulas!$C$15), Xbar_R!$D$2+(J300*Formulas!$C$15))</f>
        <v>9.637144955574664</v>
      </c>
      <c r="L300" s="143">
        <f>IF(ISBLANK(Xbar_R!$D$2), NORMDIST(K300, Xbar_R!$F$2, Formulas!$C$15, FALSE), NORMDIST(K300, Xbar_R!$D$2, Formulas!$C$15, FALSE))</f>
        <v>7.0395438771431113E-3</v>
      </c>
      <c r="M300" s="143">
        <f t="shared" si="14"/>
        <v>1.5860843680015158E-2</v>
      </c>
      <c r="N300" s="140">
        <f>+IF(K300&gt;=(Formulas!$D$4), M300, 0)</f>
        <v>1.5860843680015158E-2</v>
      </c>
      <c r="O300" s="147">
        <f>+IF(K300&lt;=(Formulas!$D$3), M300, 0)</f>
        <v>0</v>
      </c>
      <c r="P300" s="147">
        <f>NORMDIST(K300,Xbar_R!$I$2,Xbar_R!$K$2/3,FALSE)</f>
        <v>2.0589494346100209E-7</v>
      </c>
      <c r="Q300" s="140">
        <f t="shared" si="15"/>
        <v>4.6302923652983485E-7</v>
      </c>
      <c r="R300" s="135">
        <f t="shared" si="16"/>
        <v>0.79939357602813355</v>
      </c>
    </row>
    <row r="301" spans="10:18" x14ac:dyDescent="0.2">
      <c r="J301" s="142">
        <v>2.82</v>
      </c>
      <c r="K301" s="143">
        <f>IF(ISBLANK(Xbar_R!$D$2), Xbar_R!$F$2+(J301*Formulas!$C$15), Xbar_R!$D$2+(J301*Formulas!$C$15))</f>
        <v>9.6596334909716255</v>
      </c>
      <c r="L301" s="143">
        <f>IF(ISBLANK(Xbar_R!$D$2), NORMDIST(K301, Xbar_R!$F$2, Formulas!$C$15, FALSE), NORMDIST(K301, Xbar_R!$D$2, Formulas!$C$15, FALSE))</f>
        <v>6.6548331349239155E-3</v>
      </c>
      <c r="M301" s="143">
        <f t="shared" si="14"/>
        <v>1.4994049317929638E-2</v>
      </c>
      <c r="N301" s="140">
        <f>+IF(K301&gt;=(Formulas!$D$4), M301, 0)</f>
        <v>1.4994049317929638E-2</v>
      </c>
      <c r="O301" s="147">
        <f>+IF(K301&lt;=(Formulas!$D$3), M301, 0)</f>
        <v>0</v>
      </c>
      <c r="P301" s="147">
        <f>NORMDIST(K301,Xbar_R!$I$2,Xbar_R!$K$2/3,FALSE)</f>
        <v>1.7118767385046011E-7</v>
      </c>
      <c r="Q301" s="140">
        <f t="shared" si="15"/>
        <v>3.8497738989549414E-7</v>
      </c>
      <c r="R301" s="135">
        <f t="shared" si="16"/>
        <v>0.79939357602813355</v>
      </c>
    </row>
    <row r="302" spans="10:18" x14ac:dyDescent="0.2">
      <c r="J302" s="142">
        <v>2.84</v>
      </c>
      <c r="K302" s="143">
        <f>IF(ISBLANK(Xbar_R!$D$2), Xbar_R!$F$2+(J302*Formulas!$C$15), Xbar_R!$D$2+(J302*Formulas!$C$15))</f>
        <v>9.682122026368587</v>
      </c>
      <c r="L302" s="143">
        <f>IF(ISBLANK(Xbar_R!$D$2), NORMDIST(K302, Xbar_R!$F$2, Formulas!$C$15, FALSE), NORMDIST(K302, Xbar_R!$D$2, Formulas!$C$15, FALSE))</f>
        <v>6.2886308611940474E-3</v>
      </c>
      <c r="M302" s="143">
        <f t="shared" si="14"/>
        <v>1.4168956510744417E-2</v>
      </c>
      <c r="N302" s="140">
        <f>+IF(K302&gt;=(Formulas!$D$4), M302, 0)</f>
        <v>1.4168956510744417E-2</v>
      </c>
      <c r="O302" s="147">
        <f>+IF(K302&lt;=(Formulas!$D$3), M302, 0)</f>
        <v>0</v>
      </c>
      <c r="P302" s="147">
        <f>NORMDIST(K302,Xbar_R!$I$2,Xbar_R!$K$2/3,FALSE)</f>
        <v>1.4216906779436604E-7</v>
      </c>
      <c r="Q302" s="140">
        <f t="shared" si="15"/>
        <v>3.1971856040967804E-7</v>
      </c>
      <c r="R302" s="135">
        <f t="shared" si="16"/>
        <v>0.79939357602813355</v>
      </c>
    </row>
    <row r="303" spans="10:18" x14ac:dyDescent="0.2">
      <c r="J303" s="142">
        <v>2.86</v>
      </c>
      <c r="K303" s="143">
        <f>IF(ISBLANK(Xbar_R!$D$2), Xbar_R!$F$2+(J303*Formulas!$C$15), Xbar_R!$D$2+(J303*Formulas!$C$15))</f>
        <v>9.7046105617655485</v>
      </c>
      <c r="L303" s="143">
        <f>IF(ISBLANK(Xbar_R!$D$2), NORMDIST(K303, Xbar_R!$F$2, Formulas!$C$15, FALSE), NORMDIST(K303, Xbar_R!$D$2, Formulas!$C$15, FALSE))</f>
        <v>5.9402034159191973E-3</v>
      </c>
      <c r="M303" s="143">
        <f t="shared" si="14"/>
        <v>1.3383912289161382E-2</v>
      </c>
      <c r="N303" s="140">
        <f>+IF(K303&gt;=(Formulas!$D$4), M303, 0)</f>
        <v>1.3383912289161382E-2</v>
      </c>
      <c r="O303" s="147">
        <f>+IF(K303&lt;=(Formulas!$D$3), M303, 0)</f>
        <v>0</v>
      </c>
      <c r="P303" s="147">
        <f>NORMDIST(K303,Xbar_R!$I$2,Xbar_R!$K$2/3,FALSE)</f>
        <v>1.1793522943994768E-7</v>
      </c>
      <c r="Q303" s="140">
        <f t="shared" si="15"/>
        <v>2.6522001137872969E-7</v>
      </c>
      <c r="R303" s="135">
        <f t="shared" si="16"/>
        <v>0.79939357602813355</v>
      </c>
    </row>
    <row r="304" spans="10:18" x14ac:dyDescent="0.2">
      <c r="J304" s="142">
        <v>2.88</v>
      </c>
      <c r="K304" s="143">
        <f>IF(ISBLANK(Xbar_R!$D$2), Xbar_R!$F$2+(J304*Formulas!$C$15), Xbar_R!$D$2+(J304*Formulas!$C$15))</f>
        <v>9.7270990971625118</v>
      </c>
      <c r="L304" s="143">
        <f>IF(ISBLANK(Xbar_R!$D$2), NORMDIST(K304, Xbar_R!$F$2, Formulas!$C$15, FALSE), NORMDIST(K304, Xbar_R!$D$2, Formulas!$C$15, FALSE))</f>
        <v>5.6088369339676401E-3</v>
      </c>
      <c r="M304" s="143">
        <f t="shared" si="14"/>
        <v>1.263730823884851E-2</v>
      </c>
      <c r="N304" s="140">
        <f>+IF(K304&gt;=(Formulas!$D$4), M304, 0)</f>
        <v>1.263730823884851E-2</v>
      </c>
      <c r="O304" s="147">
        <f>+IF(K304&lt;=(Formulas!$D$3), M304, 0)</f>
        <v>0</v>
      </c>
      <c r="P304" s="147">
        <f>NORMDIST(K304,Xbar_R!$I$2,Xbar_R!$K$2/3,FALSE)</f>
        <v>9.7720979685245004E-8</v>
      </c>
      <c r="Q304" s="140">
        <f t="shared" si="15"/>
        <v>2.1976096088623331E-7</v>
      </c>
      <c r="R304" s="135">
        <f t="shared" si="16"/>
        <v>0.79939357602813355</v>
      </c>
    </row>
    <row r="305" spans="10:18" x14ac:dyDescent="0.2">
      <c r="J305" s="142">
        <v>2.9</v>
      </c>
      <c r="K305" s="143">
        <f>IF(ISBLANK(Xbar_R!$D$2), Xbar_R!$F$2+(J305*Formulas!$C$15), Xbar_R!$D$2+(J305*Formulas!$C$15))</f>
        <v>9.7495876325594732</v>
      </c>
      <c r="L305" s="143">
        <f>IF(ISBLANK(Xbar_R!$D$2), NORMDIST(K305, Xbar_R!$F$2, Formulas!$C$15, FALSE), NORMDIST(K305, Xbar_R!$D$2, Formulas!$C$15, FALSE))</f>
        <v>5.2938373395183562E-3</v>
      </c>
      <c r="M305" s="143">
        <f t="shared" si="14"/>
        <v>1.1927580532902899E-2</v>
      </c>
      <c r="N305" s="140">
        <f>+IF(K305&gt;=(Formulas!$D$4), M305, 0)</f>
        <v>1.1927580532902899E-2</v>
      </c>
      <c r="O305" s="147">
        <f>+IF(K305&lt;=(Formulas!$D$3), M305, 0)</f>
        <v>0</v>
      </c>
      <c r="P305" s="147">
        <f>NORMDIST(K305,Xbar_R!$I$2,Xbar_R!$K$2/3,FALSE)</f>
        <v>8.0879393088006765E-8</v>
      </c>
      <c r="Q305" s="140">
        <f t="shared" si="15"/>
        <v>1.8188656313276278E-7</v>
      </c>
      <c r="R305" s="135">
        <f t="shared" si="16"/>
        <v>0.79939357602813355</v>
      </c>
    </row>
    <row r="306" spans="10:18" x14ac:dyDescent="0.2">
      <c r="J306" s="142">
        <v>2.92</v>
      </c>
      <c r="K306" s="143">
        <f>IF(ISBLANK(Xbar_R!$D$2), Xbar_R!$F$2+(J306*Formulas!$C$15), Xbar_R!$D$2+(J306*Formulas!$C$15))</f>
        <v>9.7720761679564347</v>
      </c>
      <c r="L306" s="143">
        <f>IF(ISBLANK(Xbar_R!$D$2), NORMDIST(K306, Xbar_R!$F$2, Formulas!$C$15, FALSE), NORMDIST(K306, Xbar_R!$D$2, Formulas!$C$15, FALSE))</f>
        <v>4.994530321213957E-3</v>
      </c>
      <c r="M306" s="143">
        <f t="shared" si="14"/>
        <v>1.1253209875867644E-2</v>
      </c>
      <c r="N306" s="140">
        <f>+IF(K306&gt;=(Formulas!$D$4), M306, 0)</f>
        <v>1.1253209875867644E-2</v>
      </c>
      <c r="O306" s="147">
        <f>+IF(K306&lt;=(Formulas!$D$3), M306, 0)</f>
        <v>0</v>
      </c>
      <c r="P306" s="147">
        <f>NORMDIST(K306,Xbar_R!$I$2,Xbar_R!$K$2/3,FALSE)</f>
        <v>6.6864218122179611E-8</v>
      </c>
      <c r="Q306" s="140">
        <f t="shared" si="15"/>
        <v>1.503683740253739E-7</v>
      </c>
      <c r="R306" s="135">
        <f t="shared" si="16"/>
        <v>0.79939357602813355</v>
      </c>
    </row>
    <row r="307" spans="10:18" x14ac:dyDescent="0.2">
      <c r="J307" s="142">
        <v>2.94</v>
      </c>
      <c r="K307" s="143">
        <f>IF(ISBLANK(Xbar_R!$D$2), Xbar_R!$F$2+(J307*Formulas!$C$15), Xbar_R!$D$2+(J307*Formulas!$C$15))</f>
        <v>9.794564703353398</v>
      </c>
      <c r="L307" s="143">
        <f>IF(ISBLANK(Xbar_R!$D$2), NORMDIST(K307, Xbar_R!$F$2, Formulas!$C$15, FALSE), NORMDIST(K307, Xbar_R!$D$2, Formulas!$C$15, FALSE))</f>
        <v>4.710261270306223E-3</v>
      </c>
      <c r="M307" s="143">
        <f t="shared" si="14"/>
        <v>1.0612721364367144E-2</v>
      </c>
      <c r="N307" s="140">
        <f>+IF(K307&gt;=(Formulas!$D$4), M307, 0)</f>
        <v>1.0612721364367144E-2</v>
      </c>
      <c r="O307" s="147">
        <f>+IF(K307&lt;=(Formulas!$D$3), M307, 0)</f>
        <v>0</v>
      </c>
      <c r="P307" s="147">
        <f>NORMDIST(K307,Xbar_R!$I$2,Xbar_R!$K$2/3,FALSE)</f>
        <v>5.5214796114760341E-8</v>
      </c>
      <c r="Q307" s="140">
        <f t="shared" si="15"/>
        <v>1.2417043595347139E-7</v>
      </c>
      <c r="R307" s="135">
        <f t="shared" si="16"/>
        <v>0.79939357602813355</v>
      </c>
    </row>
    <row r="308" spans="10:18" x14ac:dyDescent="0.2">
      <c r="J308" s="142">
        <v>2.96</v>
      </c>
      <c r="K308" s="143">
        <f>IF(ISBLANK(Xbar_R!$D$2), Xbar_R!$F$2+(J308*Formulas!$C$15), Xbar_R!$D$2+(J308*Formulas!$C$15))</f>
        <v>9.8170532387503595</v>
      </c>
      <c r="L308" s="143">
        <f>IF(ISBLANK(Xbar_R!$D$2), NORMDIST(K308, Xbar_R!$F$2, Formulas!$C$15, FALSE), NORMDIST(K308, Xbar_R!$D$2, Formulas!$C$15, FALSE))</f>
        <v>4.4403951840161987E-3</v>
      </c>
      <c r="M308" s="143">
        <f t="shared" si="14"/>
        <v>1.0004684269367086E-2</v>
      </c>
      <c r="N308" s="140">
        <f>+IF(K308&gt;=(Formulas!$D$4), M308, 0)</f>
        <v>1.0004684269367086E-2</v>
      </c>
      <c r="O308" s="147">
        <f>+IF(K308&lt;=(Formulas!$D$3), M308, 0)</f>
        <v>0</v>
      </c>
      <c r="P308" s="147">
        <f>NORMDIST(K308,Xbar_R!$I$2,Xbar_R!$K$2/3,FALSE)</f>
        <v>4.5543142155627235E-8</v>
      </c>
      <c r="Q308" s="140">
        <f t="shared" si="15"/>
        <v>1.0242022454273625E-7</v>
      </c>
      <c r="R308" s="135">
        <f t="shared" si="16"/>
        <v>0.79939357602813355</v>
      </c>
    </row>
    <row r="309" spans="10:18" x14ac:dyDescent="0.2">
      <c r="J309" s="142">
        <v>2.98</v>
      </c>
      <c r="K309" s="143">
        <f>IF(ISBLANK(Xbar_R!$D$2), Xbar_R!$F$2+(J309*Formulas!$C$15), Xbar_R!$D$2+(J309*Formulas!$C$15))</f>
        <v>9.839541774147321</v>
      </c>
      <c r="L309" s="143">
        <f>IF(ISBLANK(Xbar_R!$D$2), NORMDIST(K309, Xbar_R!$F$2, Formulas!$C$15, FALSE), NORMDIST(K309, Xbar_R!$D$2, Formulas!$C$15, FALSE))</f>
        <v>4.1843165363001826E-3</v>
      </c>
      <c r="M309" s="143">
        <f t="shared" si="14"/>
        <v>9.4277117449964084E-3</v>
      </c>
      <c r="N309" s="140">
        <f>+IF(K309&gt;=(Formulas!$D$4), M309, 0)</f>
        <v>9.4277117449964084E-3</v>
      </c>
      <c r="O309" s="147">
        <f>+IF(K309&lt;=(Formulas!$D$3), M309, 0)</f>
        <v>0</v>
      </c>
      <c r="P309" s="147">
        <f>NORMDIST(K309,Xbar_R!$I$2,Xbar_R!$K$2/3,FALSE)</f>
        <v>3.7522893761358199E-8</v>
      </c>
      <c r="Q309" s="140">
        <f t="shared" si="15"/>
        <v>8.4383795729313679E-8</v>
      </c>
      <c r="R309" s="135">
        <f t="shared" si="16"/>
        <v>0.79939357602813355</v>
      </c>
    </row>
    <row r="310" spans="10:18" x14ac:dyDescent="0.2">
      <c r="J310" s="142">
        <v>3</v>
      </c>
      <c r="K310" s="143">
        <f>IF(ISBLANK(Xbar_R!$D$2), Xbar_R!$F$2+(J310*Formulas!$C$15), Xbar_R!$D$2+(J310*Formulas!$C$15))</f>
        <v>9.8620303095442825</v>
      </c>
      <c r="L310" s="143">
        <f>IF(ISBLANK(Xbar_R!$D$2), NORMDIST(K310, Xbar_R!$F$2, Formulas!$C$15, FALSE), NORMDIST(K310, Xbar_R!$D$2, Formulas!$C$15, FALSE))</f>
        <v>3.9414291181779082E-3</v>
      </c>
      <c r="M310" s="143">
        <f t="shared" si="14"/>
        <v>8.8804604687896735E-3</v>
      </c>
      <c r="N310" s="140">
        <f>+IF(K310&gt;=(Formulas!$D$4), M310, 0)</f>
        <v>8.8804604687896735E-3</v>
      </c>
      <c r="O310" s="147">
        <f>+IF(K310&lt;=(Formulas!$D$3), M310, 0)</f>
        <v>0</v>
      </c>
      <c r="P310" s="147">
        <f>NORMDIST(K310,Xbar_R!$I$2,Xbar_R!$K$2/3,FALSE)</f>
        <v>3.0879870640084217E-8</v>
      </c>
      <c r="Q310" s="140">
        <f t="shared" si="15"/>
        <v>6.9444555977288732E-8</v>
      </c>
      <c r="R310" s="135">
        <f t="shared" si="16"/>
        <v>0.79939357602813355</v>
      </c>
    </row>
    <row r="311" spans="10:18" x14ac:dyDescent="0.2">
      <c r="J311" s="142">
        <v>3.02</v>
      </c>
      <c r="K311" s="143">
        <f>IF(ISBLANK(Xbar_R!$D$2), Xbar_R!$F$2+(J311*Formulas!$C$15), Xbar_R!$D$2+(J311*Formulas!$C$15))</f>
        <v>9.884518844941244</v>
      </c>
      <c r="L311" s="143">
        <f>IF(ISBLANK(Xbar_R!$D$2), NORMDIST(K311, Xbar_R!$F$2, Formulas!$C$15, FALSE), NORMDIST(K311, Xbar_R!$D$2, Formulas!$C$15, FALSE))</f>
        <v>3.7111558497381846E-3</v>
      </c>
      <c r="M311" s="143">
        <f t="shared" si="14"/>
        <v>8.3616302181156957E-3</v>
      </c>
      <c r="N311" s="140">
        <f>+IF(K311&gt;=(Formulas!$D$4), M311, 0)</f>
        <v>8.3616302181156957E-3</v>
      </c>
      <c r="O311" s="147">
        <f>+IF(K311&lt;=(Formulas!$D$3), M311, 0)</f>
        <v>0</v>
      </c>
      <c r="P311" s="147">
        <f>NORMDIST(K311,Xbar_R!$I$2,Xbar_R!$K$2/3,FALSE)</f>
        <v>2.5384022053054989E-8</v>
      </c>
      <c r="Q311" s="140">
        <f t="shared" si="15"/>
        <v>5.7085153009154617E-8</v>
      </c>
      <c r="R311" s="135">
        <f t="shared" si="16"/>
        <v>0.79939357602813355</v>
      </c>
    </row>
    <row r="312" spans="10:18" x14ac:dyDescent="0.2">
      <c r="J312" s="142">
        <v>3.04</v>
      </c>
      <c r="K312" s="143">
        <f>IF(ISBLANK(Xbar_R!$D$2), Xbar_R!$F$2+(J312*Formulas!$C$15), Xbar_R!$D$2+(J312*Formulas!$C$15))</f>
        <v>9.9070073803382073</v>
      </c>
      <c r="L312" s="143">
        <f>IF(ISBLANK(Xbar_R!$D$2), NORMDIST(K312, Xbar_R!$F$2, Formulas!$C$15, FALSE), NORMDIST(K312, Xbar_R!$D$2, Formulas!$C$15, FALSE))</f>
        <v>3.4929385658928861E-3</v>
      </c>
      <c r="M312" s="143">
        <f t="shared" si="14"/>
        <v>7.8699633874584202E-3</v>
      </c>
      <c r="N312" s="140">
        <f>+IF(K312&gt;=(Formulas!$D$4), M312, 0)</f>
        <v>7.8699633874584202E-3</v>
      </c>
      <c r="O312" s="147">
        <f>+IF(K312&lt;=(Formulas!$D$3), M312, 0)</f>
        <v>0</v>
      </c>
      <c r="P312" s="147">
        <f>NORMDIST(K312,Xbar_R!$I$2,Xbar_R!$K$2/3,FALSE)</f>
        <v>2.084256746265253E-8</v>
      </c>
      <c r="Q312" s="140">
        <f t="shared" si="15"/>
        <v>4.6872050072378251E-8</v>
      </c>
      <c r="R312" s="135">
        <f t="shared" si="16"/>
        <v>0.79939357602813355</v>
      </c>
    </row>
    <row r="313" spans="10:18" x14ac:dyDescent="0.2">
      <c r="J313" s="142">
        <v>3.06</v>
      </c>
      <c r="K313" s="143">
        <f>IF(ISBLANK(Xbar_R!$D$2), Xbar_R!$F$2+(J313*Formulas!$C$15), Xbar_R!$D$2+(J313*Formulas!$C$15))</f>
        <v>9.9294959157351688</v>
      </c>
      <c r="L313" s="143">
        <f>IF(ISBLANK(Xbar_R!$D$2), NORMDIST(K313, Xbar_R!$F$2, Formulas!$C$15, FALSE), NORMDIST(K313, Xbar_R!$D$2, Formulas!$C$15, FALSE))</f>
        <v>3.2862377779019152E-3</v>
      </c>
      <c r="M313" s="143">
        <f t="shared" si="14"/>
        <v>7.404244451107214E-3</v>
      </c>
      <c r="N313" s="140">
        <f>+IF(K313&gt;=(Formulas!$D$4), M313, 0)</f>
        <v>7.404244451107214E-3</v>
      </c>
      <c r="O313" s="147">
        <f>+IF(K313&lt;=(Formulas!$D$3), M313, 0)</f>
        <v>0</v>
      </c>
      <c r="P313" s="147">
        <f>NORMDIST(K313,Xbar_R!$I$2,Xbar_R!$K$2/3,FALSE)</f>
        <v>1.7094161818626016E-8</v>
      </c>
      <c r="Q313" s="140">
        <f t="shared" si="15"/>
        <v>3.8442404475537939E-8</v>
      </c>
      <c r="R313" s="135">
        <f t="shared" si="16"/>
        <v>0.79939357602813355</v>
      </c>
    </row>
    <row r="314" spans="10:18" x14ac:dyDescent="0.2">
      <c r="J314" s="142">
        <v>3.08</v>
      </c>
      <c r="K314" s="143">
        <f>IF(ISBLANK(Xbar_R!$D$2), Xbar_R!$F$2+(J314*Formulas!$C$15), Xbar_R!$D$2+(J314*Formulas!$C$15))</f>
        <v>9.9519844511321303</v>
      </c>
      <c r="L314" s="143">
        <f>IF(ISBLANK(Xbar_R!$D$2), NORMDIST(K314, Xbar_R!$F$2, Formulas!$C$15, FALSE), NORMDIST(K314, Xbar_R!$D$2, Formulas!$C$15, FALSE))</f>
        <v>3.0905324126393823E-3</v>
      </c>
      <c r="M314" s="143">
        <f t="shared" si="14"/>
        <v>6.9632993756957324E-3</v>
      </c>
      <c r="N314" s="140">
        <f>+IF(K314&gt;=(Formulas!$D$4), M314, 0)</f>
        <v>6.9632993756957324E-3</v>
      </c>
      <c r="O314" s="147">
        <f>+IF(K314&lt;=(Formulas!$D$3), M314, 0)</f>
        <v>0</v>
      </c>
      <c r="P314" s="147">
        <f>NORMDIST(K314,Xbar_R!$I$2,Xbar_R!$K$2/3,FALSE)</f>
        <v>1.400393934906771E-8</v>
      </c>
      <c r="Q314" s="140">
        <f t="shared" si="15"/>
        <v>3.1492921760058149E-8</v>
      </c>
      <c r="R314" s="135">
        <f t="shared" si="16"/>
        <v>0.79939357602813355</v>
      </c>
    </row>
    <row r="315" spans="10:18" x14ac:dyDescent="0.2">
      <c r="J315" s="142">
        <v>3.1</v>
      </c>
      <c r="K315" s="143">
        <f>IF(ISBLANK(Xbar_R!$D$2), Xbar_R!$F$2+(J315*Formulas!$C$15), Xbar_R!$D$2+(J315*Formulas!$C$15))</f>
        <v>9.9744729865290918</v>
      </c>
      <c r="L315" s="143">
        <f>IF(ISBLANK(Xbar_R!$D$2), NORMDIST(K315, Xbar_R!$F$2, Formulas!$C$15, FALSE), NORMDIST(K315, Xbar_R!$D$2, Formulas!$C$15, FALSE))</f>
        <v>2.9053195315167208E-3</v>
      </c>
      <c r="M315" s="143">
        <f t="shared" si="14"/>
        <v>6.5459949869057076E-3</v>
      </c>
      <c r="N315" s="140">
        <f>+IF(K315&gt;=(Formulas!$D$4), M315, 0)</f>
        <v>6.5459949869057076E-3</v>
      </c>
      <c r="O315" s="147">
        <f>+IF(K315&lt;=(Formulas!$D$3), M315, 0)</f>
        <v>0</v>
      </c>
      <c r="P315" s="147">
        <f>NORMDIST(K315,Xbar_R!$I$2,Xbar_R!$K$2/3,FALSE)</f>
        <v>1.1459309439288988E-8</v>
      </c>
      <c r="Q315" s="140">
        <f t="shared" si="15"/>
        <v>2.5770401213559192E-8</v>
      </c>
      <c r="R315" s="135">
        <f t="shared" si="16"/>
        <v>0.79939357602813355</v>
      </c>
    </row>
    <row r="316" spans="10:18" x14ac:dyDescent="0.2">
      <c r="J316" s="142">
        <v>3.12</v>
      </c>
      <c r="K316" s="143">
        <f>IF(ISBLANK(Xbar_R!$D$2), Xbar_R!$F$2+(J316*Formulas!$C$15), Xbar_R!$D$2+(J316*Formulas!$C$15))</f>
        <v>9.9969615219260533</v>
      </c>
      <c r="L316" s="143">
        <f>IF(ISBLANK(Xbar_R!$D$2), NORMDIST(K316, Xbar_R!$F$2, Formulas!$C$15, FALSE), NORMDIST(K316, Xbar_R!$D$2, Formulas!$C$15, FALSE))</f>
        <v>2.7301140309203679E-3</v>
      </c>
      <c r="M316" s="143">
        <f t="shared" si="14"/>
        <v>6.1512382945210688E-3</v>
      </c>
      <c r="N316" s="140">
        <f>+IF(K316&gt;=(Formulas!$D$4), M316, 0)</f>
        <v>6.1512382945210688E-3</v>
      </c>
      <c r="O316" s="147">
        <f>+IF(K316&lt;=(Formulas!$D$3), M316, 0)</f>
        <v>0</v>
      </c>
      <c r="P316" s="148">
        <f>NORMDIST(K316,Xbar_R!$I$2,Xbar_R!$K$2/3,FALSE)</f>
        <v>9.3663954161539238E-9</v>
      </c>
      <c r="Q316" s="140">
        <f t="shared" si="15"/>
        <v>2.1063727188617129E-8</v>
      </c>
      <c r="R316" s="135">
        <f t="shared" si="16"/>
        <v>0.79939357602813355</v>
      </c>
    </row>
    <row r="317" spans="10:18" ht="13.5" thickBot="1" x14ac:dyDescent="0.25">
      <c r="J317" s="135"/>
      <c r="K317" s="145" t="s">
        <v>29</v>
      </c>
      <c r="L317" s="146">
        <f>SUM(L5:L316)</f>
        <v>44.383161571745497</v>
      </c>
      <c r="M317" s="145"/>
      <c r="N317" s="145"/>
      <c r="O317" s="149"/>
      <c r="P317" s="145">
        <f>+SUM(P4:P316)</f>
        <v>44.466942304567723</v>
      </c>
      <c r="Q317" s="145"/>
      <c r="R317" s="135"/>
    </row>
    <row r="318" spans="10:18" x14ac:dyDescent="0.2">
      <c r="O318" s="5"/>
    </row>
    <row r="319" spans="10:18" x14ac:dyDescent="0.2">
      <c r="O319" s="5"/>
    </row>
    <row r="320" spans="10:18" x14ac:dyDescent="0.2">
      <c r="O320" s="5"/>
    </row>
    <row r="321" spans="15:15" x14ac:dyDescent="0.2">
      <c r="O321" s="5"/>
    </row>
    <row r="322" spans="15:15" x14ac:dyDescent="0.2">
      <c r="O322" s="5"/>
    </row>
    <row r="323" spans="15:15" x14ac:dyDescent="0.2">
      <c r="O323" s="5"/>
    </row>
    <row r="324" spans="15:15" x14ac:dyDescent="0.2">
      <c r="O324" s="5"/>
    </row>
    <row r="325" spans="15:15" x14ac:dyDescent="0.2">
      <c r="O325" s="5"/>
    </row>
    <row r="326" spans="15:15" x14ac:dyDescent="0.2">
      <c r="O326" s="5"/>
    </row>
    <row r="327" spans="15:15" x14ac:dyDescent="0.2">
      <c r="O327" s="5"/>
    </row>
    <row r="328" spans="15:15" x14ac:dyDescent="0.2">
      <c r="O328" s="5"/>
    </row>
    <row r="329" spans="15:15" x14ac:dyDescent="0.2">
      <c r="O329" s="5"/>
    </row>
    <row r="330" spans="15:15" x14ac:dyDescent="0.2">
      <c r="O330" s="5"/>
    </row>
    <row r="331" spans="15:15" x14ac:dyDescent="0.2">
      <c r="O331" s="5"/>
    </row>
    <row r="332" spans="15:15" x14ac:dyDescent="0.2">
      <c r="O332" s="5"/>
    </row>
    <row r="333" spans="15:15" x14ac:dyDescent="0.2">
      <c r="O333" s="5"/>
    </row>
    <row r="334" spans="15:15" x14ac:dyDescent="0.2">
      <c r="O334" s="5"/>
    </row>
    <row r="335" spans="15:15" x14ac:dyDescent="0.2">
      <c r="O335" s="5"/>
    </row>
    <row r="336" spans="15:15" x14ac:dyDescent="0.2">
      <c r="O336" s="5"/>
    </row>
    <row r="337" spans="15:15" x14ac:dyDescent="0.2">
      <c r="O337" s="5"/>
    </row>
    <row r="338" spans="15:15" x14ac:dyDescent="0.2">
      <c r="O338" s="5"/>
    </row>
    <row r="339" spans="15:15" x14ac:dyDescent="0.2">
      <c r="O339" s="5"/>
    </row>
    <row r="340" spans="15:15" x14ac:dyDescent="0.2">
      <c r="O340" s="5"/>
    </row>
    <row r="341" spans="15:15" x14ac:dyDescent="0.2">
      <c r="O341" s="5"/>
    </row>
    <row r="342" spans="15:15" x14ac:dyDescent="0.2">
      <c r="O342" s="5"/>
    </row>
    <row r="343" spans="15:15" x14ac:dyDescent="0.2">
      <c r="O343" s="5"/>
    </row>
    <row r="344" spans="15:15" x14ac:dyDescent="0.2">
      <c r="O344" s="5"/>
    </row>
    <row r="345" spans="15:15" x14ac:dyDescent="0.2">
      <c r="O345" s="5"/>
    </row>
    <row r="346" spans="15:15" x14ac:dyDescent="0.2">
      <c r="O346" s="5"/>
    </row>
    <row r="347" spans="15:15" x14ac:dyDescent="0.2">
      <c r="O347" s="5"/>
    </row>
    <row r="348" spans="15:15" x14ac:dyDescent="0.2">
      <c r="O348" s="5"/>
    </row>
    <row r="349" spans="15:15" x14ac:dyDescent="0.2">
      <c r="O349" s="5"/>
    </row>
    <row r="350" spans="15:15" x14ac:dyDescent="0.2">
      <c r="O350" s="5"/>
    </row>
    <row r="351" spans="15:15" x14ac:dyDescent="0.2">
      <c r="O351" s="5"/>
    </row>
    <row r="352" spans="15:15" x14ac:dyDescent="0.2">
      <c r="O352" s="5"/>
    </row>
    <row r="353" spans="15:15" x14ac:dyDescent="0.2">
      <c r="O353" s="5"/>
    </row>
    <row r="354" spans="15:15" x14ac:dyDescent="0.2">
      <c r="O354" s="5"/>
    </row>
    <row r="355" spans="15:15" x14ac:dyDescent="0.2">
      <c r="O355" s="5"/>
    </row>
    <row r="356" spans="15:15" x14ac:dyDescent="0.2">
      <c r="O356" s="5"/>
    </row>
    <row r="357" spans="15:15" x14ac:dyDescent="0.2">
      <c r="O357" s="5"/>
    </row>
    <row r="358" spans="15:15" x14ac:dyDescent="0.2">
      <c r="O358" s="5"/>
    </row>
    <row r="359" spans="15:15" x14ac:dyDescent="0.2">
      <c r="O359" s="5"/>
    </row>
    <row r="360" spans="15:15" x14ac:dyDescent="0.2">
      <c r="O360" s="5"/>
    </row>
    <row r="361" spans="15:15" x14ac:dyDescent="0.2">
      <c r="O361" s="5"/>
    </row>
    <row r="362" spans="15:15" x14ac:dyDescent="0.2">
      <c r="O362" s="5"/>
    </row>
    <row r="363" spans="15:15" x14ac:dyDescent="0.2">
      <c r="O363" s="5"/>
    </row>
    <row r="364" spans="15:15" x14ac:dyDescent="0.2">
      <c r="O364" s="5"/>
    </row>
    <row r="365" spans="15:15" x14ac:dyDescent="0.2">
      <c r="O365" s="5"/>
    </row>
    <row r="366" spans="15:15" x14ac:dyDescent="0.2">
      <c r="O366" s="5"/>
    </row>
    <row r="367" spans="15:15" x14ac:dyDescent="0.2">
      <c r="O367" s="5"/>
    </row>
    <row r="368" spans="15:15" x14ac:dyDescent="0.2">
      <c r="O368" s="5"/>
    </row>
    <row r="369" spans="15:15" x14ac:dyDescent="0.2">
      <c r="O369" s="5"/>
    </row>
    <row r="370" spans="15:15" x14ac:dyDescent="0.2">
      <c r="O370" s="5"/>
    </row>
    <row r="371" spans="15:15" x14ac:dyDescent="0.2">
      <c r="O371" s="5"/>
    </row>
    <row r="372" spans="15:15" x14ac:dyDescent="0.2">
      <c r="O372" s="5"/>
    </row>
    <row r="373" spans="15:15" x14ac:dyDescent="0.2">
      <c r="O373" s="5"/>
    </row>
    <row r="374" spans="15:15" x14ac:dyDescent="0.2">
      <c r="O374" s="5"/>
    </row>
    <row r="375" spans="15:15" x14ac:dyDescent="0.2">
      <c r="O375" s="5"/>
    </row>
    <row r="376" spans="15:15" x14ac:dyDescent="0.2">
      <c r="O376" s="5"/>
    </row>
    <row r="377" spans="15:15" x14ac:dyDescent="0.2">
      <c r="O377" s="5"/>
    </row>
    <row r="378" spans="15:15" x14ac:dyDescent="0.2">
      <c r="O378" s="5"/>
    </row>
    <row r="379" spans="15:15" x14ac:dyDescent="0.2">
      <c r="O379" s="5"/>
    </row>
    <row r="380" spans="15:15" x14ac:dyDescent="0.2">
      <c r="O380" s="5"/>
    </row>
    <row r="381" spans="15:15" x14ac:dyDescent="0.2">
      <c r="O381" s="5"/>
    </row>
    <row r="382" spans="15:15" x14ac:dyDescent="0.2">
      <c r="O382" s="5"/>
    </row>
    <row r="383" spans="15:15" x14ac:dyDescent="0.2">
      <c r="O383" s="5"/>
    </row>
    <row r="384" spans="15:15" x14ac:dyDescent="0.2">
      <c r="O384" s="5"/>
    </row>
    <row r="385" spans="15:15" x14ac:dyDescent="0.2">
      <c r="O385" s="5"/>
    </row>
    <row r="386" spans="15:15" x14ac:dyDescent="0.2">
      <c r="O386" s="5"/>
    </row>
    <row r="387" spans="15:15" x14ac:dyDescent="0.2">
      <c r="O387" s="5"/>
    </row>
    <row r="388" spans="15:15" x14ac:dyDescent="0.2">
      <c r="O388" s="5"/>
    </row>
    <row r="389" spans="15:15" x14ac:dyDescent="0.2">
      <c r="O389" s="5"/>
    </row>
    <row r="390" spans="15:15" x14ac:dyDescent="0.2">
      <c r="O390" s="5"/>
    </row>
    <row r="391" spans="15:15" x14ac:dyDescent="0.2">
      <c r="O391" s="5"/>
    </row>
    <row r="392" spans="15:15" x14ac:dyDescent="0.2">
      <c r="O392" s="5"/>
    </row>
    <row r="393" spans="15:15" x14ac:dyDescent="0.2">
      <c r="O393" s="5"/>
    </row>
    <row r="394" spans="15:15" x14ac:dyDescent="0.2">
      <c r="O394" s="5"/>
    </row>
    <row r="395" spans="15:15" x14ac:dyDescent="0.2">
      <c r="O395" s="5"/>
    </row>
    <row r="396" spans="15:15" x14ac:dyDescent="0.2">
      <c r="O396" s="5"/>
    </row>
    <row r="397" spans="15:15" x14ac:dyDescent="0.2">
      <c r="O397" s="5"/>
    </row>
    <row r="398" spans="15:15" x14ac:dyDescent="0.2">
      <c r="O398" s="5"/>
    </row>
    <row r="399" spans="15:15" x14ac:dyDescent="0.2">
      <c r="O399" s="5"/>
    </row>
    <row r="400" spans="15:15" x14ac:dyDescent="0.2">
      <c r="O400" s="5"/>
    </row>
    <row r="401" spans="15:15" x14ac:dyDescent="0.2">
      <c r="O401" s="5"/>
    </row>
    <row r="402" spans="15:15" x14ac:dyDescent="0.2">
      <c r="O402" s="5"/>
    </row>
    <row r="403" spans="15:15" x14ac:dyDescent="0.2">
      <c r="O403" s="5"/>
    </row>
    <row r="404" spans="15:15" x14ac:dyDescent="0.2">
      <c r="O404" s="5"/>
    </row>
    <row r="405" spans="15:15" x14ac:dyDescent="0.2">
      <c r="O405" s="5"/>
    </row>
    <row r="406" spans="15:15" x14ac:dyDescent="0.2">
      <c r="O406" s="5"/>
    </row>
    <row r="407" spans="15:15" x14ac:dyDescent="0.2">
      <c r="O407" s="5"/>
    </row>
    <row r="408" spans="15:15" x14ac:dyDescent="0.2">
      <c r="O408" s="5"/>
    </row>
    <row r="409" spans="15:15" x14ac:dyDescent="0.2">
      <c r="O409" s="5"/>
    </row>
    <row r="410" spans="15:15" x14ac:dyDescent="0.2">
      <c r="O410" s="5"/>
    </row>
    <row r="411" spans="15:15" x14ac:dyDescent="0.2">
      <c r="O411" s="5"/>
    </row>
    <row r="412" spans="15:15" x14ac:dyDescent="0.2">
      <c r="O412" s="5"/>
    </row>
    <row r="413" spans="15:15" x14ac:dyDescent="0.2">
      <c r="O413" s="5"/>
    </row>
    <row r="414" spans="15:15" x14ac:dyDescent="0.2">
      <c r="O414" s="5"/>
    </row>
    <row r="415" spans="15:15" x14ac:dyDescent="0.2">
      <c r="O415" s="5"/>
    </row>
    <row r="416" spans="15:15" x14ac:dyDescent="0.2">
      <c r="O416" s="5"/>
    </row>
    <row r="417" spans="15:15" x14ac:dyDescent="0.2">
      <c r="O417" s="5"/>
    </row>
    <row r="418" spans="15:15" x14ac:dyDescent="0.2">
      <c r="O418" s="5"/>
    </row>
    <row r="419" spans="15:15" x14ac:dyDescent="0.2">
      <c r="O419" s="5"/>
    </row>
    <row r="420" spans="15:15" x14ac:dyDescent="0.2">
      <c r="O420" s="5"/>
    </row>
    <row r="421" spans="15:15" x14ac:dyDescent="0.2">
      <c r="O421" s="5"/>
    </row>
    <row r="422" spans="15:15" x14ac:dyDescent="0.2">
      <c r="O422" s="5"/>
    </row>
    <row r="423" spans="15:15" x14ac:dyDescent="0.2">
      <c r="O423" s="5"/>
    </row>
    <row r="424" spans="15:15" x14ac:dyDescent="0.2">
      <c r="O424" s="5"/>
    </row>
    <row r="425" spans="15:15" x14ac:dyDescent="0.2">
      <c r="O425" s="5"/>
    </row>
    <row r="426" spans="15:15" x14ac:dyDescent="0.2">
      <c r="O426" s="5"/>
    </row>
    <row r="427" spans="15:15" x14ac:dyDescent="0.2">
      <c r="O427" s="5"/>
    </row>
    <row r="428" spans="15:15" x14ac:dyDescent="0.2">
      <c r="O428" s="5"/>
    </row>
    <row r="429" spans="15:15" x14ac:dyDescent="0.2">
      <c r="O429" s="5"/>
    </row>
    <row r="430" spans="15:15" x14ac:dyDescent="0.2">
      <c r="O430" s="5"/>
    </row>
    <row r="431" spans="15:15" x14ac:dyDescent="0.2">
      <c r="O431" s="5"/>
    </row>
    <row r="432" spans="15:15" x14ac:dyDescent="0.2">
      <c r="O432" s="5"/>
    </row>
    <row r="433" spans="15:15" x14ac:dyDescent="0.2">
      <c r="O433" s="5"/>
    </row>
    <row r="434" spans="15:15" x14ac:dyDescent="0.2">
      <c r="O434" s="5"/>
    </row>
    <row r="435" spans="15:15" x14ac:dyDescent="0.2">
      <c r="O435" s="5"/>
    </row>
    <row r="436" spans="15:15" x14ac:dyDescent="0.2">
      <c r="O436" s="5"/>
    </row>
    <row r="437" spans="15:15" x14ac:dyDescent="0.2">
      <c r="O437" s="5"/>
    </row>
    <row r="438" spans="15:15" x14ac:dyDescent="0.2">
      <c r="O438" s="5"/>
    </row>
    <row r="439" spans="15:15" x14ac:dyDescent="0.2">
      <c r="O439" s="5"/>
    </row>
    <row r="440" spans="15:15" x14ac:dyDescent="0.2">
      <c r="O440" s="5"/>
    </row>
    <row r="441" spans="15:15" x14ac:dyDescent="0.2">
      <c r="O441" s="5"/>
    </row>
    <row r="442" spans="15:15" x14ac:dyDescent="0.2">
      <c r="O442" s="5"/>
    </row>
    <row r="443" spans="15:15" x14ac:dyDescent="0.2">
      <c r="O443" s="5"/>
    </row>
    <row r="444" spans="15:15" x14ac:dyDescent="0.2">
      <c r="O444" s="5"/>
    </row>
    <row r="445" spans="15:15" x14ac:dyDescent="0.2">
      <c r="O445" s="5"/>
    </row>
    <row r="446" spans="15:15" x14ac:dyDescent="0.2">
      <c r="O446" s="5"/>
    </row>
    <row r="447" spans="15:15" x14ac:dyDescent="0.2">
      <c r="O447" s="5"/>
    </row>
    <row r="448" spans="15:15" x14ac:dyDescent="0.2">
      <c r="O448" s="5"/>
    </row>
    <row r="449" spans="15:15" x14ac:dyDescent="0.2">
      <c r="O449" s="5"/>
    </row>
    <row r="450" spans="15:15" x14ac:dyDescent="0.2">
      <c r="O450" s="5"/>
    </row>
    <row r="451" spans="15:15" x14ac:dyDescent="0.2">
      <c r="O451" s="5"/>
    </row>
    <row r="452" spans="15:15" x14ac:dyDescent="0.2">
      <c r="O452" s="5"/>
    </row>
    <row r="453" spans="15:15" x14ac:dyDescent="0.2">
      <c r="O453" s="5"/>
    </row>
    <row r="454" spans="15:15" x14ac:dyDescent="0.2">
      <c r="O454" s="5"/>
    </row>
    <row r="455" spans="15:15" x14ac:dyDescent="0.2">
      <c r="O455" s="5"/>
    </row>
    <row r="456" spans="15:15" x14ac:dyDescent="0.2">
      <c r="O456" s="5"/>
    </row>
    <row r="457" spans="15:15" x14ac:dyDescent="0.2">
      <c r="O457" s="5"/>
    </row>
    <row r="458" spans="15:15" x14ac:dyDescent="0.2">
      <c r="O458" s="5"/>
    </row>
    <row r="459" spans="15:15" x14ac:dyDescent="0.2">
      <c r="O459" s="5"/>
    </row>
    <row r="460" spans="15:15" x14ac:dyDescent="0.2">
      <c r="O460" s="5"/>
    </row>
    <row r="461" spans="15:15" x14ac:dyDescent="0.2">
      <c r="O461" s="5"/>
    </row>
    <row r="462" spans="15:15" x14ac:dyDescent="0.2">
      <c r="O462" s="5"/>
    </row>
    <row r="463" spans="15:15" x14ac:dyDescent="0.2">
      <c r="O463" s="5"/>
    </row>
    <row r="464" spans="15:15" x14ac:dyDescent="0.2">
      <c r="O464" s="5"/>
    </row>
    <row r="465" spans="15:15" x14ac:dyDescent="0.2">
      <c r="O465" s="5"/>
    </row>
    <row r="466" spans="15:15" x14ac:dyDescent="0.2">
      <c r="O466" s="5"/>
    </row>
    <row r="467" spans="15:15" x14ac:dyDescent="0.2">
      <c r="O467" s="5"/>
    </row>
    <row r="468" spans="15:15" x14ac:dyDescent="0.2">
      <c r="O468" s="5"/>
    </row>
    <row r="469" spans="15:15" x14ac:dyDescent="0.2">
      <c r="O469" s="5"/>
    </row>
    <row r="470" spans="15:15" x14ac:dyDescent="0.2">
      <c r="O470" s="5"/>
    </row>
    <row r="471" spans="15:15" x14ac:dyDescent="0.2">
      <c r="O471" s="5"/>
    </row>
    <row r="472" spans="15:15" x14ac:dyDescent="0.2">
      <c r="O472" s="5"/>
    </row>
    <row r="473" spans="15:15" x14ac:dyDescent="0.2">
      <c r="O473" s="5"/>
    </row>
    <row r="474" spans="15:15" x14ac:dyDescent="0.2">
      <c r="O474" s="5"/>
    </row>
    <row r="475" spans="15:15" x14ac:dyDescent="0.2">
      <c r="O475" s="5"/>
    </row>
    <row r="476" spans="15:15" x14ac:dyDescent="0.2">
      <c r="O476" s="5"/>
    </row>
    <row r="477" spans="15:15" x14ac:dyDescent="0.2">
      <c r="O477" s="5"/>
    </row>
    <row r="478" spans="15:15" x14ac:dyDescent="0.2">
      <c r="O478" s="5"/>
    </row>
    <row r="479" spans="15:15" x14ac:dyDescent="0.2">
      <c r="O479" s="5"/>
    </row>
    <row r="480" spans="15:15" x14ac:dyDescent="0.2">
      <c r="O480" s="5"/>
    </row>
    <row r="481" spans="15:15" x14ac:dyDescent="0.2">
      <c r="O481" s="5"/>
    </row>
    <row r="482" spans="15:15" x14ac:dyDescent="0.2">
      <c r="O482" s="5"/>
    </row>
    <row r="483" spans="15:15" x14ac:dyDescent="0.2">
      <c r="O483" s="5"/>
    </row>
    <row r="484" spans="15:15" x14ac:dyDescent="0.2">
      <c r="O484" s="5"/>
    </row>
    <row r="485" spans="15:15" x14ac:dyDescent="0.2">
      <c r="O485" s="5"/>
    </row>
    <row r="486" spans="15:15" x14ac:dyDescent="0.2">
      <c r="O486" s="5"/>
    </row>
    <row r="487" spans="15:15" x14ac:dyDescent="0.2">
      <c r="O487" s="5"/>
    </row>
    <row r="488" spans="15:15" x14ac:dyDescent="0.2">
      <c r="O488" s="5"/>
    </row>
    <row r="489" spans="15:15" x14ac:dyDescent="0.2">
      <c r="O489" s="5"/>
    </row>
    <row r="490" spans="15:15" x14ac:dyDescent="0.2">
      <c r="O490" s="5"/>
    </row>
    <row r="491" spans="15:15" x14ac:dyDescent="0.2">
      <c r="O491" s="5"/>
    </row>
    <row r="492" spans="15:15" x14ac:dyDescent="0.2">
      <c r="O492" s="5"/>
    </row>
    <row r="493" spans="15:15" x14ac:dyDescent="0.2">
      <c r="O493" s="5"/>
    </row>
    <row r="494" spans="15:15" x14ac:dyDescent="0.2">
      <c r="O494" s="5"/>
    </row>
    <row r="495" spans="15:15" x14ac:dyDescent="0.2">
      <c r="O495" s="5"/>
    </row>
    <row r="496" spans="15:15" x14ac:dyDescent="0.2">
      <c r="O496" s="5"/>
    </row>
    <row r="497" spans="15:15" x14ac:dyDescent="0.2">
      <c r="O497" s="5"/>
    </row>
    <row r="498" spans="15:15" x14ac:dyDescent="0.2">
      <c r="O498" s="5"/>
    </row>
    <row r="499" spans="15:15" x14ac:dyDescent="0.2">
      <c r="O499" s="5"/>
    </row>
    <row r="500" spans="15:15" x14ac:dyDescent="0.2">
      <c r="O500" s="5"/>
    </row>
    <row r="501" spans="15:15" x14ac:dyDescent="0.2">
      <c r="O501" s="5"/>
    </row>
    <row r="502" spans="15:15" x14ac:dyDescent="0.2">
      <c r="O502" s="5"/>
    </row>
    <row r="503" spans="15:15" x14ac:dyDescent="0.2">
      <c r="O503" s="5"/>
    </row>
    <row r="504" spans="15:15" x14ac:dyDescent="0.2">
      <c r="O504" s="5"/>
    </row>
    <row r="505" spans="15:15" x14ac:dyDescent="0.2">
      <c r="O505" s="5"/>
    </row>
    <row r="506" spans="15:15" x14ac:dyDescent="0.2">
      <c r="O506" s="5"/>
    </row>
    <row r="507" spans="15:15" x14ac:dyDescent="0.2">
      <c r="O507" s="5"/>
    </row>
    <row r="508" spans="15:15" x14ac:dyDescent="0.2">
      <c r="O508" s="5"/>
    </row>
    <row r="509" spans="15:15" x14ac:dyDescent="0.2">
      <c r="O509" s="5"/>
    </row>
    <row r="510" spans="15:15" x14ac:dyDescent="0.2">
      <c r="O510" s="5"/>
    </row>
    <row r="511" spans="15:15" x14ac:dyDescent="0.2">
      <c r="O511" s="5"/>
    </row>
    <row r="512" spans="15:15" x14ac:dyDescent="0.2">
      <c r="O512" s="5"/>
    </row>
    <row r="513" spans="15:15" x14ac:dyDescent="0.2">
      <c r="O513" s="5"/>
    </row>
    <row r="514" spans="15:15" x14ac:dyDescent="0.2">
      <c r="O514" s="5"/>
    </row>
    <row r="515" spans="15:15" x14ac:dyDescent="0.2">
      <c r="O515" s="5"/>
    </row>
    <row r="516" spans="15:15" x14ac:dyDescent="0.2">
      <c r="O516" s="5"/>
    </row>
    <row r="517" spans="15:15" x14ac:dyDescent="0.2">
      <c r="O517" s="5"/>
    </row>
    <row r="518" spans="15:15" x14ac:dyDescent="0.2">
      <c r="O518" s="5"/>
    </row>
    <row r="519" spans="15:15" x14ac:dyDescent="0.2">
      <c r="O519" s="5"/>
    </row>
    <row r="520" spans="15:15" x14ac:dyDescent="0.2">
      <c r="O520" s="5"/>
    </row>
    <row r="521" spans="15:15" x14ac:dyDescent="0.2">
      <c r="O521" s="5"/>
    </row>
    <row r="522" spans="15:15" x14ac:dyDescent="0.2">
      <c r="O522" s="5"/>
    </row>
    <row r="523" spans="15:15" x14ac:dyDescent="0.2">
      <c r="O523" s="5"/>
    </row>
    <row r="524" spans="15:15" x14ac:dyDescent="0.2">
      <c r="O524" s="5"/>
    </row>
    <row r="525" spans="15:15" x14ac:dyDescent="0.2">
      <c r="O525" s="5"/>
    </row>
    <row r="526" spans="15:15" x14ac:dyDescent="0.2">
      <c r="O526" s="5"/>
    </row>
    <row r="527" spans="15:15" x14ac:dyDescent="0.2">
      <c r="O527" s="5"/>
    </row>
    <row r="528" spans="15:15" x14ac:dyDescent="0.2">
      <c r="O528" s="5"/>
    </row>
    <row r="529" spans="15:15" x14ac:dyDescent="0.2">
      <c r="O529" s="5"/>
    </row>
    <row r="530" spans="15:15" x14ac:dyDescent="0.2">
      <c r="O530" s="5"/>
    </row>
    <row r="531" spans="15:15" x14ac:dyDescent="0.2">
      <c r="O531" s="5"/>
    </row>
    <row r="532" spans="15:15" x14ac:dyDescent="0.2">
      <c r="O532" s="5"/>
    </row>
    <row r="533" spans="15:15" x14ac:dyDescent="0.2">
      <c r="O533" s="5"/>
    </row>
    <row r="534" spans="15:15" x14ac:dyDescent="0.2">
      <c r="O534" s="5"/>
    </row>
    <row r="535" spans="15:15" x14ac:dyDescent="0.2">
      <c r="O535" s="5"/>
    </row>
    <row r="536" spans="15:15" x14ac:dyDescent="0.2">
      <c r="O536" s="5"/>
    </row>
    <row r="537" spans="15:15" x14ac:dyDescent="0.2">
      <c r="O537" s="5"/>
    </row>
    <row r="538" spans="15:15" x14ac:dyDescent="0.2">
      <c r="O538" s="5"/>
    </row>
    <row r="539" spans="15:15" x14ac:dyDescent="0.2">
      <c r="O539" s="5"/>
    </row>
    <row r="540" spans="15:15" x14ac:dyDescent="0.2">
      <c r="O540" s="5"/>
    </row>
    <row r="541" spans="15:15" x14ac:dyDescent="0.2">
      <c r="O541" s="5"/>
    </row>
    <row r="542" spans="15:15" x14ac:dyDescent="0.2">
      <c r="O542" s="5"/>
    </row>
    <row r="543" spans="15:15" x14ac:dyDescent="0.2">
      <c r="O543" s="5"/>
    </row>
    <row r="544" spans="15:15" x14ac:dyDescent="0.2">
      <c r="O544" s="5"/>
    </row>
    <row r="545" spans="15:15" x14ac:dyDescent="0.2">
      <c r="O545" s="5"/>
    </row>
    <row r="546" spans="15:15" x14ac:dyDescent="0.2">
      <c r="O546" s="5"/>
    </row>
    <row r="547" spans="15:15" x14ac:dyDescent="0.2">
      <c r="O547" s="5"/>
    </row>
    <row r="548" spans="15:15" x14ac:dyDescent="0.2">
      <c r="O548" s="5"/>
    </row>
    <row r="549" spans="15:15" x14ac:dyDescent="0.2">
      <c r="O549" s="5"/>
    </row>
    <row r="550" spans="15:15" x14ac:dyDescent="0.2">
      <c r="O550" s="5"/>
    </row>
    <row r="551" spans="15:15" x14ac:dyDescent="0.2">
      <c r="O551" s="5"/>
    </row>
    <row r="552" spans="15:15" x14ac:dyDescent="0.2">
      <c r="O552" s="5"/>
    </row>
    <row r="553" spans="15:15" x14ac:dyDescent="0.2">
      <c r="O553" s="5"/>
    </row>
    <row r="554" spans="15:15" x14ac:dyDescent="0.2">
      <c r="O554" s="5"/>
    </row>
    <row r="555" spans="15:15" x14ac:dyDescent="0.2">
      <c r="O555" s="5"/>
    </row>
    <row r="556" spans="15:15" x14ac:dyDescent="0.2">
      <c r="O556" s="5"/>
    </row>
    <row r="557" spans="15:15" x14ac:dyDescent="0.2">
      <c r="O557" s="5"/>
    </row>
    <row r="558" spans="15:15" x14ac:dyDescent="0.2">
      <c r="O558" s="5"/>
    </row>
    <row r="559" spans="15:15" x14ac:dyDescent="0.2">
      <c r="O559" s="5"/>
    </row>
    <row r="560" spans="15:15" x14ac:dyDescent="0.2">
      <c r="O560" s="5"/>
    </row>
    <row r="561" spans="15:15" x14ac:dyDescent="0.2">
      <c r="O561" s="5"/>
    </row>
    <row r="562" spans="15:15" x14ac:dyDescent="0.2">
      <c r="O562" s="5"/>
    </row>
    <row r="563" spans="15:15" x14ac:dyDescent="0.2">
      <c r="O563" s="5"/>
    </row>
    <row r="564" spans="15:15" x14ac:dyDescent="0.2">
      <c r="O564" s="5"/>
    </row>
    <row r="565" spans="15:15" x14ac:dyDescent="0.2">
      <c r="O565" s="5"/>
    </row>
    <row r="566" spans="15:15" x14ac:dyDescent="0.2">
      <c r="O566" s="5"/>
    </row>
    <row r="567" spans="15:15" x14ac:dyDescent="0.2">
      <c r="O567" s="5"/>
    </row>
    <row r="568" spans="15:15" x14ac:dyDescent="0.2">
      <c r="O568" s="5"/>
    </row>
    <row r="569" spans="15:15" x14ac:dyDescent="0.2">
      <c r="O569" s="5"/>
    </row>
    <row r="570" spans="15:15" x14ac:dyDescent="0.2">
      <c r="O570" s="5"/>
    </row>
    <row r="571" spans="15:15" x14ac:dyDescent="0.2">
      <c r="O571" s="5"/>
    </row>
    <row r="572" spans="15:15" x14ac:dyDescent="0.2">
      <c r="O572" s="5"/>
    </row>
    <row r="573" spans="15:15" x14ac:dyDescent="0.2">
      <c r="O573" s="5"/>
    </row>
    <row r="574" spans="15:15" x14ac:dyDescent="0.2">
      <c r="O574" s="5"/>
    </row>
    <row r="575" spans="15:15" x14ac:dyDescent="0.2">
      <c r="O575" s="5"/>
    </row>
  </sheetData>
  <mergeCells count="7">
    <mergeCell ref="P2:Q2"/>
    <mergeCell ref="A6:H6"/>
    <mergeCell ref="A9:H9"/>
    <mergeCell ref="A8:H8"/>
    <mergeCell ref="A7:H7"/>
    <mergeCell ref="A5:H5"/>
    <mergeCell ref="D2:E2"/>
  </mergeCells>
  <phoneticPr fontId="3" type="noConversion"/>
  <printOptions gridLinesSet="0"/>
  <pageMargins left="0.75" right="0.75" top="1" bottom="1" header="0.5" footer="0.5"/>
  <pageSetup orientation="portrait" r:id="rId1"/>
  <headerFooter alignWithMargins="0">
    <oddHeader>&amp;A</oddHeader>
    <oddFooter>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B49"/>
  <sheetViews>
    <sheetView showGridLines="0" workbookViewId="0">
      <selection activeCell="B51" sqref="B51"/>
    </sheetView>
  </sheetViews>
  <sheetFormatPr defaultRowHeight="12.75" x14ac:dyDescent="0.2"/>
  <cols>
    <col min="2" max="2" width="8.140625" customWidth="1"/>
    <col min="3" max="11" width="1.85546875" customWidth="1"/>
    <col min="12" max="20" width="2.7109375" customWidth="1"/>
    <col min="21" max="21" width="3.7109375" customWidth="1"/>
    <col min="22" max="27" width="2.7109375" customWidth="1"/>
    <col min="28" max="28" width="4.85546875" customWidth="1"/>
    <col min="30" max="54" width="6.5703125" customWidth="1"/>
  </cols>
  <sheetData>
    <row r="1" spans="1:158" x14ac:dyDescent="0.2">
      <c r="A1" s="229" t="s">
        <v>100</v>
      </c>
    </row>
    <row r="2" spans="1:158" ht="13.5" thickBot="1" x14ac:dyDescent="0.25">
      <c r="A2" s="228" t="s">
        <v>101</v>
      </c>
    </row>
    <row r="3" spans="1:158" x14ac:dyDescent="0.2">
      <c r="A3" s="230" t="b">
        <v>1</v>
      </c>
      <c r="B3" s="89" t="s">
        <v>52</v>
      </c>
      <c r="C3" s="90"/>
      <c r="D3" s="90"/>
      <c r="E3" s="90"/>
      <c r="F3" s="90"/>
      <c r="G3" s="91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6"/>
      <c r="BC3" s="152"/>
      <c r="BD3" s="152"/>
      <c r="BE3" s="152"/>
      <c r="BF3" s="152"/>
      <c r="BG3" s="152"/>
      <c r="BH3" s="152"/>
      <c r="BI3" s="152"/>
      <c r="BJ3" s="152"/>
      <c r="BK3" s="152"/>
      <c r="BL3" s="152"/>
      <c r="BM3" s="152"/>
      <c r="BN3" s="152"/>
      <c r="BO3" s="152"/>
      <c r="BP3" s="152"/>
      <c r="BQ3" s="152"/>
      <c r="BR3" s="152"/>
      <c r="BS3" s="152"/>
      <c r="BT3" s="152"/>
      <c r="BU3" s="152"/>
      <c r="BV3" s="152"/>
      <c r="BW3" s="152"/>
      <c r="BX3" s="152"/>
      <c r="BY3" s="152"/>
      <c r="BZ3" s="152"/>
      <c r="CA3" s="152"/>
      <c r="CB3" s="152"/>
      <c r="CC3" s="152"/>
      <c r="CD3" s="152"/>
      <c r="CE3" s="152"/>
      <c r="CF3" s="152"/>
      <c r="CG3" s="152"/>
      <c r="CH3" s="152"/>
      <c r="CI3" s="152"/>
      <c r="CJ3" s="152"/>
      <c r="CK3" s="152"/>
      <c r="CL3" s="152"/>
      <c r="CM3" s="152"/>
      <c r="CN3" s="152"/>
      <c r="CO3" s="152"/>
      <c r="CP3" s="152"/>
      <c r="CQ3" s="152"/>
      <c r="CR3" s="152"/>
      <c r="CS3" s="152"/>
      <c r="CT3" s="152"/>
      <c r="CU3" s="152"/>
      <c r="CV3" s="152"/>
      <c r="CW3" s="152"/>
      <c r="CX3" s="152"/>
      <c r="CY3" s="152"/>
      <c r="CZ3" s="152"/>
      <c r="DA3" s="152"/>
      <c r="DB3" s="152"/>
      <c r="DC3" s="152"/>
      <c r="DD3" s="152"/>
      <c r="DE3" s="152"/>
      <c r="DF3" s="152"/>
      <c r="DG3" s="152"/>
      <c r="DH3" s="152"/>
      <c r="DI3" s="152"/>
      <c r="DJ3" s="152"/>
      <c r="DK3" s="152"/>
      <c r="DL3" s="152"/>
      <c r="DM3" s="152"/>
      <c r="DN3" s="152"/>
      <c r="DO3" s="152"/>
      <c r="DP3" s="152"/>
      <c r="DQ3" s="152"/>
      <c r="DR3" s="152"/>
      <c r="DS3" s="152"/>
      <c r="DT3" s="152"/>
      <c r="DU3" s="152"/>
      <c r="DV3" s="152"/>
      <c r="DW3" s="152"/>
      <c r="DX3" s="152"/>
      <c r="DY3" s="152"/>
      <c r="DZ3" s="152"/>
      <c r="EA3" s="152"/>
      <c r="EB3" s="152"/>
      <c r="EC3" s="152"/>
      <c r="ED3" s="152"/>
      <c r="EE3" s="152"/>
      <c r="EF3" s="152"/>
      <c r="EG3" s="152"/>
      <c r="EH3" s="152"/>
      <c r="EI3" s="152"/>
      <c r="EJ3" s="152"/>
      <c r="EK3" s="152"/>
      <c r="EL3" s="152"/>
      <c r="EM3" s="152"/>
      <c r="EN3" s="152"/>
      <c r="EO3" s="152"/>
      <c r="EP3" s="152"/>
      <c r="EQ3" s="152"/>
      <c r="ER3" s="152"/>
      <c r="ES3" s="152"/>
      <c r="ET3" s="152"/>
      <c r="EU3" s="152"/>
      <c r="EV3" s="152"/>
    </row>
    <row r="4" spans="1:158" x14ac:dyDescent="0.2">
      <c r="A4" s="230" t="b">
        <v>1</v>
      </c>
      <c r="B4" s="92" t="s">
        <v>53</v>
      </c>
      <c r="C4" s="93"/>
      <c r="D4" s="93"/>
      <c r="E4" s="93"/>
      <c r="F4" s="93"/>
      <c r="G4" s="94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97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</row>
    <row r="5" spans="1:158" x14ac:dyDescent="0.2">
      <c r="A5" s="230" t="b">
        <v>1</v>
      </c>
      <c r="B5" s="92" t="s">
        <v>54</v>
      </c>
      <c r="C5" s="93"/>
      <c r="D5" s="93"/>
      <c r="E5" s="93"/>
      <c r="F5" s="93"/>
      <c r="G5" s="94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97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2"/>
      <c r="BT5" s="152"/>
      <c r="BU5" s="152"/>
      <c r="BV5" s="152"/>
      <c r="BW5" s="152"/>
      <c r="BX5" s="152"/>
      <c r="BY5" s="152"/>
      <c r="BZ5" s="152"/>
      <c r="CA5" s="152"/>
      <c r="CB5" s="152"/>
      <c r="CC5" s="152"/>
      <c r="CD5" s="152"/>
      <c r="CE5" s="152"/>
      <c r="CF5" s="152"/>
      <c r="CG5" s="152"/>
      <c r="CH5" s="152"/>
      <c r="CI5" s="152"/>
      <c r="CJ5" s="152"/>
      <c r="CK5" s="152"/>
      <c r="CL5" s="152"/>
      <c r="CM5" s="152"/>
      <c r="CN5" s="152"/>
      <c r="CO5" s="152"/>
      <c r="CP5" s="152"/>
      <c r="CQ5" s="152"/>
      <c r="CR5" s="152"/>
      <c r="CS5" s="152"/>
      <c r="CT5" s="152"/>
      <c r="CU5" s="152"/>
      <c r="CV5" s="152"/>
      <c r="CW5" s="152"/>
      <c r="CX5" s="152"/>
      <c r="CY5" s="152"/>
      <c r="CZ5" s="152"/>
      <c r="DA5" s="152"/>
      <c r="DB5" s="152"/>
      <c r="DC5" s="152"/>
      <c r="DD5" s="152"/>
      <c r="DE5" s="152"/>
      <c r="DF5" s="152"/>
      <c r="DG5" s="152"/>
      <c r="DH5" s="152"/>
      <c r="DI5" s="152"/>
      <c r="DJ5" s="152"/>
      <c r="DK5" s="152"/>
      <c r="DL5" s="152"/>
      <c r="DM5" s="152"/>
      <c r="DN5" s="152"/>
      <c r="DO5" s="152"/>
      <c r="DP5" s="152"/>
      <c r="DQ5" s="152"/>
      <c r="DR5" s="152"/>
      <c r="DS5" s="152"/>
      <c r="DT5" s="152"/>
      <c r="DU5" s="152"/>
      <c r="DV5" s="152"/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U5" s="152"/>
      <c r="EV5" s="152"/>
    </row>
    <row r="6" spans="1:158" x14ac:dyDescent="0.2">
      <c r="A6" s="230" t="b">
        <v>1</v>
      </c>
      <c r="B6" s="92" t="s">
        <v>55</v>
      </c>
      <c r="C6" s="93"/>
      <c r="D6" s="93"/>
      <c r="E6" s="93"/>
      <c r="F6" s="93"/>
      <c r="G6" s="94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97"/>
      <c r="BC6" s="152"/>
      <c r="BD6" s="152"/>
      <c r="BE6" s="152"/>
      <c r="BF6" s="152"/>
      <c r="BG6" s="152"/>
      <c r="BH6" s="152"/>
      <c r="BI6" s="152"/>
      <c r="BJ6" s="152"/>
      <c r="BK6" s="152"/>
      <c r="BL6" s="152"/>
      <c r="BM6" s="152"/>
      <c r="BN6" s="152"/>
      <c r="BO6" s="152"/>
      <c r="BP6" s="152"/>
      <c r="BQ6" s="152"/>
      <c r="BR6" s="152"/>
      <c r="BS6" s="152"/>
      <c r="BT6" s="152"/>
      <c r="BU6" s="152"/>
      <c r="BV6" s="152"/>
      <c r="BW6" s="152"/>
      <c r="BX6" s="152"/>
      <c r="BY6" s="152"/>
      <c r="BZ6" s="152"/>
      <c r="CA6" s="152"/>
      <c r="CB6" s="152"/>
      <c r="CC6" s="152"/>
      <c r="CD6" s="152"/>
      <c r="CE6" s="152"/>
      <c r="CF6" s="152"/>
      <c r="CG6" s="152"/>
      <c r="CH6" s="152"/>
      <c r="CI6" s="152"/>
      <c r="CJ6" s="152"/>
      <c r="CK6" s="152"/>
      <c r="CL6" s="152"/>
      <c r="CM6" s="152"/>
      <c r="CN6" s="152"/>
      <c r="CO6" s="152"/>
      <c r="CP6" s="152"/>
      <c r="CQ6" s="152"/>
      <c r="CR6" s="152"/>
      <c r="CS6" s="152"/>
      <c r="CT6" s="152"/>
      <c r="CU6" s="152"/>
      <c r="CV6" s="152"/>
      <c r="CW6" s="152"/>
      <c r="CX6" s="152"/>
      <c r="CY6" s="152"/>
      <c r="CZ6" s="152"/>
      <c r="DA6" s="152"/>
      <c r="DB6" s="152"/>
      <c r="DC6" s="152"/>
      <c r="DD6" s="152"/>
      <c r="DE6" s="152"/>
      <c r="DF6" s="152"/>
      <c r="DG6" s="152"/>
      <c r="DH6" s="152"/>
      <c r="DI6" s="152"/>
      <c r="DJ6" s="152"/>
      <c r="DK6" s="152"/>
      <c r="DL6" s="152"/>
      <c r="DM6" s="152"/>
      <c r="DN6" s="152"/>
      <c r="DO6" s="152"/>
      <c r="DP6" s="152"/>
      <c r="DQ6" s="152"/>
      <c r="DR6" s="152"/>
      <c r="DS6" s="152"/>
      <c r="DT6" s="152"/>
      <c r="DU6" s="152"/>
      <c r="DV6" s="152"/>
      <c r="DW6" s="152"/>
      <c r="DX6" s="152"/>
      <c r="DY6" s="152"/>
      <c r="DZ6" s="152"/>
      <c r="EA6" s="152"/>
      <c r="EB6" s="152"/>
      <c r="EC6" s="152"/>
      <c r="ED6" s="152"/>
      <c r="EE6" s="152"/>
      <c r="EF6" s="152"/>
      <c r="EG6" s="152"/>
      <c r="EH6" s="152"/>
      <c r="EI6" s="152"/>
      <c r="EJ6" s="152"/>
      <c r="EK6" s="152"/>
      <c r="EL6" s="152"/>
      <c r="EM6" s="152"/>
      <c r="EN6" s="152"/>
      <c r="EO6" s="152"/>
      <c r="EP6" s="152"/>
      <c r="EQ6" s="152"/>
      <c r="ER6" s="152"/>
      <c r="ES6" s="152"/>
      <c r="ET6" s="152"/>
      <c r="EU6" s="152"/>
      <c r="EV6" s="152"/>
    </row>
    <row r="7" spans="1:158" ht="13.5" thickBot="1" x14ac:dyDescent="0.25">
      <c r="A7" s="230" t="b">
        <v>1</v>
      </c>
      <c r="B7" s="92" t="s">
        <v>56</v>
      </c>
      <c r="C7" s="93"/>
      <c r="D7" s="93"/>
      <c r="E7" s="93"/>
      <c r="F7" s="93"/>
      <c r="G7" s="94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97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152"/>
      <c r="CP7" s="152"/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152"/>
      <c r="DB7" s="152"/>
      <c r="DC7" s="152"/>
      <c r="DD7" s="152"/>
      <c r="DE7" s="152"/>
      <c r="DF7" s="152"/>
      <c r="DG7" s="152"/>
      <c r="DH7" s="152"/>
      <c r="DI7" s="152"/>
      <c r="DJ7" s="152"/>
      <c r="DK7" s="152"/>
      <c r="DL7" s="152"/>
      <c r="DM7" s="152"/>
      <c r="DN7" s="152"/>
      <c r="DO7" s="152"/>
      <c r="DP7" s="152"/>
      <c r="DQ7" s="152"/>
      <c r="DR7" s="152"/>
      <c r="DS7" s="152"/>
      <c r="DT7" s="152"/>
      <c r="DU7" s="152"/>
      <c r="DV7" s="152"/>
      <c r="DW7" s="152"/>
      <c r="DX7" s="152"/>
      <c r="DY7" s="152"/>
      <c r="DZ7" s="152"/>
      <c r="EA7" s="152"/>
      <c r="EB7" s="152"/>
      <c r="EC7" s="152"/>
      <c r="ED7" s="152"/>
      <c r="EE7" s="152"/>
      <c r="EF7" s="152"/>
      <c r="EG7" s="152"/>
      <c r="EH7" s="152"/>
      <c r="EI7" s="152"/>
      <c r="EJ7" s="152"/>
      <c r="EK7" s="152"/>
      <c r="EL7" s="152"/>
      <c r="EM7" s="152"/>
      <c r="EN7" s="152"/>
      <c r="EO7" s="152"/>
      <c r="EP7" s="152"/>
      <c r="EQ7" s="152"/>
      <c r="ER7" s="152"/>
      <c r="ES7" s="152"/>
      <c r="ET7" s="152"/>
      <c r="EU7" s="152"/>
      <c r="EV7" s="152"/>
    </row>
    <row r="8" spans="1:158" ht="13.5" thickTop="1" x14ac:dyDescent="0.2">
      <c r="B8" s="101" t="s">
        <v>57</v>
      </c>
      <c r="C8" s="102"/>
      <c r="D8" s="102"/>
      <c r="E8" s="118" t="s">
        <v>65</v>
      </c>
      <c r="F8" s="117"/>
      <c r="G8" s="117"/>
      <c r="H8" s="117"/>
      <c r="I8" s="117"/>
      <c r="J8" s="117"/>
      <c r="K8" s="117"/>
      <c r="L8" s="117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9" t="s">
        <v>64</v>
      </c>
      <c r="BC8" s="152"/>
      <c r="BD8" s="152"/>
      <c r="BE8" s="152"/>
      <c r="BF8" s="152"/>
      <c r="BG8" s="152"/>
      <c r="BH8" s="152"/>
      <c r="BI8" s="152"/>
      <c r="BJ8" s="152"/>
      <c r="BK8" s="152"/>
      <c r="BL8" s="152"/>
      <c r="BM8" s="152"/>
      <c r="BN8" s="152"/>
      <c r="BO8" s="152"/>
      <c r="BP8" s="152"/>
      <c r="BQ8" s="152"/>
      <c r="BR8" s="152"/>
      <c r="BS8" s="152"/>
      <c r="BT8" s="152"/>
      <c r="BU8" s="152"/>
      <c r="BV8" s="152"/>
      <c r="BW8" s="152"/>
      <c r="BX8" s="152"/>
      <c r="BY8" s="152"/>
      <c r="BZ8" s="152"/>
      <c r="CA8" s="152"/>
      <c r="CB8" s="152"/>
      <c r="CC8" s="152"/>
      <c r="CD8" s="152"/>
      <c r="CE8" s="152"/>
      <c r="CF8" s="152"/>
      <c r="CG8" s="152"/>
      <c r="CH8" s="152"/>
      <c r="CI8" s="152"/>
      <c r="CJ8" s="152"/>
      <c r="CK8" s="152"/>
      <c r="CL8" s="152"/>
      <c r="CM8" s="152"/>
      <c r="CN8" s="152"/>
      <c r="CO8" s="152"/>
      <c r="CP8" s="152"/>
      <c r="CQ8" s="152"/>
      <c r="CR8" s="152"/>
      <c r="CS8" s="152"/>
      <c r="CT8" s="152"/>
      <c r="CU8" s="152"/>
      <c r="CV8" s="152"/>
      <c r="CW8" s="152"/>
      <c r="CX8" s="152"/>
      <c r="CY8" s="152"/>
      <c r="CZ8" s="152"/>
      <c r="DA8" s="152"/>
      <c r="DB8" s="152"/>
      <c r="DC8" s="152"/>
      <c r="DD8" s="152"/>
      <c r="DE8" s="152"/>
      <c r="DF8" s="152"/>
      <c r="DG8" s="152"/>
      <c r="DH8" s="152"/>
      <c r="DI8" s="152"/>
      <c r="DJ8" s="152"/>
      <c r="DK8" s="152"/>
      <c r="DL8" s="152"/>
      <c r="DM8" s="152"/>
      <c r="DN8" s="152"/>
      <c r="DO8" s="152"/>
      <c r="DP8" s="152"/>
      <c r="DQ8" s="152"/>
      <c r="DR8" s="152"/>
      <c r="DS8" s="152"/>
      <c r="DT8" s="152"/>
      <c r="DU8" s="152"/>
      <c r="DV8" s="152"/>
      <c r="DW8" s="152"/>
      <c r="DX8" s="152"/>
      <c r="DY8" s="152"/>
      <c r="DZ8" s="152"/>
      <c r="EA8" s="152"/>
      <c r="EB8" s="152"/>
      <c r="EC8" s="152"/>
      <c r="ED8" s="152"/>
      <c r="EE8" s="152"/>
      <c r="EF8" s="152"/>
      <c r="EG8" s="152"/>
      <c r="EH8" s="152"/>
      <c r="EI8" s="152"/>
      <c r="EJ8" s="152"/>
      <c r="EK8" s="152"/>
      <c r="EL8" s="152"/>
      <c r="EM8" s="152"/>
      <c r="EN8" s="152"/>
      <c r="EO8" s="152"/>
      <c r="EP8" s="152"/>
      <c r="EQ8" s="152"/>
      <c r="ER8" s="152"/>
      <c r="ES8" s="152"/>
      <c r="ET8" s="152"/>
      <c r="EU8" s="152"/>
      <c r="EV8" s="152"/>
    </row>
    <row r="9" spans="1:158" x14ac:dyDescent="0.2">
      <c r="B9" s="99" t="s">
        <v>60</v>
      </c>
      <c r="C9" s="103">
        <v>1</v>
      </c>
      <c r="D9" s="103">
        <v>2</v>
      </c>
      <c r="E9" s="103">
        <v>3</v>
      </c>
      <c r="F9" s="103">
        <v>4</v>
      </c>
      <c r="G9" s="103">
        <v>5</v>
      </c>
      <c r="H9" s="103">
        <v>6</v>
      </c>
      <c r="I9" s="103">
        <v>7</v>
      </c>
      <c r="J9" s="103">
        <v>8</v>
      </c>
      <c r="K9" s="103">
        <v>9</v>
      </c>
      <c r="L9" s="103">
        <v>10</v>
      </c>
      <c r="M9" s="103">
        <v>11</v>
      </c>
      <c r="N9" s="103">
        <v>12</v>
      </c>
      <c r="O9" s="103">
        <v>13</v>
      </c>
      <c r="P9" s="103">
        <v>14</v>
      </c>
      <c r="Q9" s="103">
        <v>15</v>
      </c>
      <c r="R9" s="103">
        <v>16</v>
      </c>
      <c r="S9" s="103">
        <v>17</v>
      </c>
      <c r="T9" s="103">
        <v>18</v>
      </c>
      <c r="U9" s="103">
        <v>19</v>
      </c>
      <c r="V9" s="103">
        <v>20</v>
      </c>
      <c r="W9" s="103">
        <v>21</v>
      </c>
      <c r="X9" s="103">
        <v>22</v>
      </c>
      <c r="Y9" s="103">
        <v>23</v>
      </c>
      <c r="Z9" s="103">
        <v>24</v>
      </c>
      <c r="AA9" s="103">
        <v>25</v>
      </c>
      <c r="AB9" s="107"/>
      <c r="BC9" s="152"/>
      <c r="BD9" s="152"/>
      <c r="BE9" s="152"/>
      <c r="BF9" s="152"/>
      <c r="BG9" s="152"/>
      <c r="BH9" s="152"/>
      <c r="BI9" s="152"/>
      <c r="BJ9" s="152"/>
      <c r="BK9" s="152"/>
      <c r="BL9" s="152"/>
      <c r="BM9" s="152"/>
      <c r="BN9" s="152"/>
      <c r="BO9" s="152"/>
      <c r="BP9" s="152"/>
      <c r="BQ9" s="152"/>
      <c r="BR9" s="152"/>
      <c r="BS9" s="152"/>
      <c r="BT9" s="152"/>
      <c r="BU9" s="152"/>
      <c r="BV9" s="152"/>
      <c r="BW9" s="152"/>
      <c r="BX9" s="152"/>
      <c r="BY9" s="152"/>
      <c r="BZ9" s="152"/>
      <c r="CA9" s="152"/>
      <c r="CB9" s="152"/>
      <c r="CC9" s="152"/>
      <c r="CD9" s="152"/>
      <c r="CE9" s="152"/>
      <c r="CF9" s="152"/>
      <c r="CG9" s="152"/>
      <c r="CH9" s="152"/>
      <c r="CI9" s="152"/>
      <c r="CJ9" s="152"/>
      <c r="CK9" s="152"/>
      <c r="CL9" s="152"/>
      <c r="CM9" s="152"/>
      <c r="CN9" s="152"/>
      <c r="CO9" s="152"/>
      <c r="CP9" s="152"/>
      <c r="CQ9" s="152"/>
      <c r="CR9" s="152"/>
      <c r="CS9" s="152"/>
      <c r="CT9" s="152"/>
      <c r="CU9" s="152"/>
      <c r="CV9" s="152"/>
      <c r="CW9" s="152"/>
      <c r="CX9" s="152"/>
      <c r="CY9" s="152"/>
      <c r="CZ9" s="152"/>
      <c r="DA9" s="152"/>
      <c r="DB9" s="152"/>
      <c r="DC9" s="152"/>
      <c r="DD9" s="152"/>
      <c r="DE9" s="152"/>
      <c r="DF9" s="152"/>
      <c r="DG9" s="152"/>
      <c r="DH9" s="152"/>
      <c r="DI9" s="152"/>
      <c r="DJ9" s="152"/>
      <c r="DK9" s="152"/>
      <c r="DL9" s="152"/>
      <c r="DM9" s="152"/>
      <c r="DN9" s="152"/>
      <c r="DO9" s="152"/>
      <c r="DP9" s="152"/>
      <c r="DQ9" s="152"/>
      <c r="DR9" s="152"/>
      <c r="DS9" s="152"/>
      <c r="DT9" s="152"/>
      <c r="DU9" s="152"/>
      <c r="DV9" s="152"/>
      <c r="DW9" s="152"/>
      <c r="DX9" s="152"/>
      <c r="DY9" s="152"/>
      <c r="DZ9" s="152"/>
      <c r="EA9" s="152"/>
      <c r="EB9" s="152"/>
      <c r="EC9" s="152"/>
      <c r="ED9" s="152"/>
      <c r="EE9" s="152"/>
      <c r="EF9" s="152"/>
      <c r="EG9" s="152"/>
      <c r="EH9" s="152"/>
      <c r="EI9" s="152"/>
      <c r="EJ9" s="152"/>
      <c r="EK9" s="152"/>
      <c r="EL9" s="152"/>
      <c r="EM9" s="152"/>
      <c r="EN9" s="152"/>
      <c r="EO9" s="152"/>
      <c r="EP9" s="152"/>
      <c r="EQ9" s="152"/>
      <c r="ER9" s="152"/>
      <c r="ES9" s="152"/>
      <c r="ET9" s="152"/>
      <c r="EU9" s="152"/>
      <c r="EV9" s="152"/>
    </row>
    <row r="10" spans="1:158" x14ac:dyDescent="0.2">
      <c r="B10" s="104" t="s">
        <v>47</v>
      </c>
      <c r="C10" s="18">
        <f>+IF(OR($A$3=FALSE, Xbar_R!C14=0), "", IF(OR((Xbar_R!C16-Xbar_R!C23)&lt;0, (Xbar_R!C23-Xbar_R!C18)&lt;0), 1, 0))</f>
        <v>0</v>
      </c>
      <c r="D10" s="18">
        <f>+IF(OR($A$3=FALSE, Xbar_R!D14=0), "", IF(OR((Xbar_R!D16-Xbar_R!D23)&lt;0, (Xbar_R!D23-Xbar_R!D18)&lt;0), 1, 0))</f>
        <v>0</v>
      </c>
      <c r="E10" s="18">
        <f>+IF(OR($A$3=FALSE, Xbar_R!E14=0), "", IF(OR((Xbar_R!E16-Xbar_R!E23)&lt;0, (Xbar_R!E23-Xbar_R!E18)&lt;0), 1, 0))</f>
        <v>0</v>
      </c>
      <c r="F10" s="18">
        <f>+IF(OR($A$3=FALSE, Xbar_R!F14=0), "", IF(OR((Xbar_R!F16-Xbar_R!F23)&lt;0, (Xbar_R!F23-Xbar_R!F18)&lt;0), 1, 0))</f>
        <v>0</v>
      </c>
      <c r="G10" s="18">
        <f>+IF(OR($A$3=FALSE, Xbar_R!G14=0), "", IF(OR((Xbar_R!G16-Xbar_R!G23)&lt;0, (Xbar_R!G23-Xbar_R!G18)&lt;0), 1, 0))</f>
        <v>0</v>
      </c>
      <c r="H10" s="18" t="str">
        <f>+IF(OR($A$3=FALSE, Xbar_R!H14=0), "", IF(OR((Xbar_R!H16-Xbar_R!H23)&lt;0, (Xbar_R!H23-Xbar_R!H18)&lt;0), 1, 0))</f>
        <v/>
      </c>
      <c r="I10" s="18">
        <f>+IF(OR($A$3=FALSE, Xbar_R!I14=0), "", IF(OR((Xbar_R!I16-Xbar_R!I23)&lt;0, (Xbar_R!I23-Xbar_R!I18)&lt;0), 1, 0))</f>
        <v>0</v>
      </c>
      <c r="J10" s="18">
        <f>+IF(OR($A$3=FALSE, Xbar_R!J14=0), "", IF(OR((Xbar_R!J16-Xbar_R!J23)&lt;0, (Xbar_R!J23-Xbar_R!J18)&lt;0), 1, 0))</f>
        <v>0</v>
      </c>
      <c r="K10" s="18">
        <f>+IF(OR($A$3=FALSE, Xbar_R!K14=0), "", IF(OR((Xbar_R!K16-Xbar_R!K23)&lt;0, (Xbar_R!K23-Xbar_R!K18)&lt;0), 1, 0))</f>
        <v>0</v>
      </c>
      <c r="L10" s="18">
        <f>+IF(OR($A$3=FALSE, Xbar_R!L14=0), "", IF(OR((Xbar_R!L16-Xbar_R!L23)&lt;0, (Xbar_R!L23-Xbar_R!L18)&lt;0), 1, 0))</f>
        <v>0</v>
      </c>
      <c r="M10" s="18">
        <f>+IF(OR($A$3=FALSE, Xbar_R!M14=0), "", IF(OR((Xbar_R!M16-Xbar_R!M23)&lt;0, (Xbar_R!M23-Xbar_R!M18)&lt;0), 1, 0))</f>
        <v>0</v>
      </c>
      <c r="N10" s="18">
        <f>+IF(OR($A$3=FALSE, Xbar_R!N14=0), "", IF(OR((Xbar_R!N16-Xbar_R!N23)&lt;0, (Xbar_R!N23-Xbar_R!N18)&lt;0), 1, 0))</f>
        <v>0</v>
      </c>
      <c r="O10" s="18">
        <f>+IF(OR($A$3=FALSE, Xbar_R!O14=0), "", IF(OR((Xbar_R!O16-Xbar_R!O23)&lt;0, (Xbar_R!O23-Xbar_R!O18)&lt;0), 1, 0))</f>
        <v>0</v>
      </c>
      <c r="P10" s="18">
        <f>+IF(OR($A$3=FALSE, Xbar_R!P14=0), "", IF(OR((Xbar_R!P16-Xbar_R!P23)&lt;0, (Xbar_R!P23-Xbar_R!P18)&lt;0), 1, 0))</f>
        <v>0</v>
      </c>
      <c r="Q10" s="18">
        <f>+IF(OR($A$3=FALSE, Xbar_R!Q14=0), "", IF(OR((Xbar_R!Q16-Xbar_R!Q23)&lt;0, (Xbar_R!Q23-Xbar_R!Q18)&lt;0), 1, 0))</f>
        <v>0</v>
      </c>
      <c r="R10" s="18">
        <f>+IF(OR($A$3=FALSE, Xbar_R!R14=0), "", IF(OR((Xbar_R!R16-Xbar_R!R23)&lt;0, (Xbar_R!R23-Xbar_R!R18)&lt;0), 1, 0))</f>
        <v>0</v>
      </c>
      <c r="S10" s="18">
        <f>+IF(OR($A$3=FALSE, Xbar_R!S14=0), "", IF(OR((Xbar_R!S16-Xbar_R!S23)&lt;0, (Xbar_R!S23-Xbar_R!S18)&lt;0), 1, 0))</f>
        <v>0</v>
      </c>
      <c r="T10" s="18">
        <f>+IF(OR($A$3=FALSE, Xbar_R!T14=0), "", IF(OR((Xbar_R!T16-Xbar_R!T23)&lt;0, (Xbar_R!T23-Xbar_R!T18)&lt;0), 1, 0))</f>
        <v>0</v>
      </c>
      <c r="U10" s="18">
        <f>+IF(OR($A$3=FALSE, Xbar_R!U14=0), "", IF(OR((Xbar_R!U16-Xbar_R!U23)&lt;0, (Xbar_R!U23-Xbar_R!U18)&lt;0), 1, 0))</f>
        <v>0</v>
      </c>
      <c r="V10" s="18">
        <f>+IF(OR($A$3=FALSE, Xbar_R!V14=0), "", IF(OR((Xbar_R!V16-Xbar_R!V23)&lt;0, (Xbar_R!V23-Xbar_R!V18)&lt;0), 1, 0))</f>
        <v>0</v>
      </c>
      <c r="W10" s="18">
        <f>+IF(OR($A$3=FALSE, Xbar_R!W14=0), "", IF(OR((Xbar_R!W16-Xbar_R!W23)&lt;0, (Xbar_R!W23-Xbar_R!W18)&lt;0), 1, 0))</f>
        <v>0</v>
      </c>
      <c r="X10" s="18">
        <f>+IF(OR($A$3=FALSE, Xbar_R!X14=0), "", IF(OR((Xbar_R!X16-Xbar_R!X23)&lt;0, (Xbar_R!X23-Xbar_R!X18)&lt;0), 1, 0))</f>
        <v>0</v>
      </c>
      <c r="Y10" s="18">
        <f>+IF(OR($A$3=FALSE, Xbar_R!Y14=0), "", IF(OR((Xbar_R!Y16-Xbar_R!Y23)&lt;0, (Xbar_R!Y23-Xbar_R!Y18)&lt;0), 1, 0))</f>
        <v>0</v>
      </c>
      <c r="Z10" s="18">
        <f>+IF(OR($A$3=FALSE, Xbar_R!Z14=0), "", IF(OR((Xbar_R!Z16-Xbar_R!Z23)&lt;0, (Xbar_R!Z23-Xbar_R!Z18)&lt;0), 1, 0))</f>
        <v>0</v>
      </c>
      <c r="AA10" s="18">
        <f>+IF(OR($A$3=FALSE, Xbar_R!AA14=0), "", IF(OR((Xbar_R!AA16-Xbar_R!AA23)&lt;0, (Xbar_R!AA23-Xbar_R!AA18)&lt;0), 1, 0))</f>
        <v>0</v>
      </c>
      <c r="AB10" s="108">
        <f>+SUM(C10:AA10)</f>
        <v>0</v>
      </c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2"/>
      <c r="CT10" s="152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2"/>
      <c r="DW10" s="152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2"/>
      <c r="EL10" s="152"/>
      <c r="EM10" s="152"/>
      <c r="EN10" s="152"/>
      <c r="EO10" s="152"/>
      <c r="EP10" s="152"/>
      <c r="EQ10" s="152"/>
      <c r="ER10" s="152"/>
      <c r="ES10" s="152"/>
      <c r="ET10" s="152"/>
      <c r="EU10" s="152"/>
      <c r="EV10" s="152"/>
    </row>
    <row r="11" spans="1:158" x14ac:dyDescent="0.2">
      <c r="B11" s="100" t="s">
        <v>48</v>
      </c>
      <c r="C11" s="105"/>
      <c r="D11" s="105"/>
      <c r="E11" s="105">
        <f t="array" ref="E11">+IF(OR($A$4=FALSE, Xbar_R!E14=0), "", IF(MAX(SUM(1*(Xbar_R!C22:'Xbar_R'!E22&gt;C29:E29)),SUM(1*(Xbar_R!C22:'Xbar_R'!E22&lt;C34:E34)))&gt;=2, 1, 0))</f>
        <v>0</v>
      </c>
      <c r="F11" s="105">
        <f t="array" ref="F11">+IF(OR($A$4=FALSE, Xbar_R!F14=0), "", IF(MAX(SUM(1*(Xbar_R!D22:'Xbar_R'!F22&gt;D29:F29)),SUM(1*(Xbar_R!D22:'Xbar_R'!F22&lt;D34:F34)))&gt;=2, 1, 0))</f>
        <v>0</v>
      </c>
      <c r="G11" s="105">
        <f t="array" ref="G11">+IF(OR($A$4=FALSE, Xbar_R!G14=0), "", IF(MAX(SUM(1*(Xbar_R!E22:'Xbar_R'!G22&gt;E29:G29)),SUM(1*(Xbar_R!E22:'Xbar_R'!G22&lt;E34:G34)))&gt;=2, 1, 0))</f>
        <v>0</v>
      </c>
      <c r="H11" s="105" t="str">
        <f t="array" ref="H11">+IF(OR($A$4=FALSE, Xbar_R!H14=0), "", IF(MAX(SUM(1*(Xbar_R!F22:'Xbar_R'!H22&gt;F29:H29)),SUM(1*(Xbar_R!F22:'Xbar_R'!H22&lt;F34:H34)))&gt;=2, 1, 0))</f>
        <v/>
      </c>
      <c r="I11" s="105">
        <f t="array" ref="I11">+IF(OR($A$4=FALSE, Xbar_R!I14=0), "", IF(MAX(SUM(1*(Xbar_R!G22:'Xbar_R'!I22&gt;G29:I29)),SUM(1*(Xbar_R!G22:'Xbar_R'!I22&lt;G34:I34)))&gt;=2, 1, 0))</f>
        <v>0</v>
      </c>
      <c r="J11" s="105">
        <f t="array" ref="J11">+IF(OR($A$4=FALSE, Xbar_R!J14=0), "", IF(MAX(SUM(1*(Xbar_R!H22:'Xbar_R'!J22&gt;H29:J29)),SUM(1*(Xbar_R!H22:'Xbar_R'!J22&lt;H34:J34)))&gt;=2, 1, 0))</f>
        <v>0</v>
      </c>
      <c r="K11" s="105">
        <f t="array" ref="K11">+IF(OR($A$4=FALSE, Xbar_R!K14=0), "", IF(MAX(SUM(1*(Xbar_R!I22:'Xbar_R'!K22&gt;I29:K29)),SUM(1*(Xbar_R!I22:'Xbar_R'!K22&lt;I34:K34)))&gt;=2, 1, 0))</f>
        <v>0</v>
      </c>
      <c r="L11" s="105">
        <f t="array" ref="L11">+IF(OR($A$4=FALSE, Xbar_R!L14=0), "", IF(MAX(SUM(1*(Xbar_R!J22:'Xbar_R'!L22&gt;J29:L29)),SUM(1*(Xbar_R!J22:'Xbar_R'!L22&lt;J34:L34)))&gt;=2, 1, 0))</f>
        <v>0</v>
      </c>
      <c r="M11" s="105">
        <f t="array" ref="M11">+IF(OR($A$4=FALSE, Xbar_R!M14=0), "", IF(MAX(SUM(1*(Xbar_R!K22:'Xbar_R'!M22&gt;K29:M29)),SUM(1*(Xbar_R!K22:'Xbar_R'!M22&lt;K34:M34)))&gt;=2, 1, 0))</f>
        <v>0</v>
      </c>
      <c r="N11" s="105">
        <f t="array" ref="N11">+IF(OR($A$4=FALSE, Xbar_R!N14=0), "", IF(MAX(SUM(1*(Xbar_R!L22:'Xbar_R'!N22&gt;L29:N29)),SUM(1*(Xbar_R!L22:'Xbar_R'!N22&lt;L34:N34)))&gt;=2, 1, 0))</f>
        <v>0</v>
      </c>
      <c r="O11" s="105">
        <f t="array" ref="O11">+IF(OR($A$4=FALSE, Xbar_R!O14=0), "", IF(MAX(SUM(1*(Xbar_R!M22:'Xbar_R'!O22&gt;M29:O29)),SUM(1*(Xbar_R!M22:'Xbar_R'!O22&lt;M34:O34)))&gt;=2, 1, 0))</f>
        <v>0</v>
      </c>
      <c r="P11" s="105">
        <f t="array" ref="P11">+IF(OR($A$4=FALSE, Xbar_R!P14=0), "", IF(MAX(SUM(1*(Xbar_R!N22:'Xbar_R'!P22&gt;N29:P29)),SUM(1*(Xbar_R!N22:'Xbar_R'!P22&lt;N34:P34)))&gt;=2, 1, 0))</f>
        <v>0</v>
      </c>
      <c r="Q11" s="105">
        <f t="array" ref="Q11">+IF(OR($A$4=FALSE, Xbar_R!Q14=0), "", IF(MAX(SUM(1*(Xbar_R!O22:'Xbar_R'!Q22&gt;O29:Q29)),SUM(1*(Xbar_R!O22:'Xbar_R'!Q22&lt;O34:Q34)))&gt;=2, 1, 0))</f>
        <v>0</v>
      </c>
      <c r="R11" s="105">
        <f t="array" ref="R11">+IF(OR($A$4=FALSE, Xbar_R!R14=0), "", IF(MAX(SUM(1*(Xbar_R!P22:'Xbar_R'!R22&gt;P29:R29)),SUM(1*(Xbar_R!P22:'Xbar_R'!R22&lt;P34:R34)))&gt;=2, 1, 0))</f>
        <v>0</v>
      </c>
      <c r="S11" s="105">
        <f t="array" ref="S11">+IF(OR($A$4=FALSE, Xbar_R!S14=0), "", IF(MAX(SUM(1*(Xbar_R!Q22:'Xbar_R'!S22&gt;Q29:S29)),SUM(1*(Xbar_R!Q22:'Xbar_R'!S22&lt;Q34:S34)))&gt;=2, 1, 0))</f>
        <v>0</v>
      </c>
      <c r="T11" s="105">
        <f t="array" ref="T11">+IF(OR($A$4=FALSE, Xbar_R!T14=0), "", IF(MAX(SUM(1*(Xbar_R!R22:'Xbar_R'!T22&gt;R29:T29)),SUM(1*(Xbar_R!R22:'Xbar_R'!T22&lt;R34:T34)))&gt;=2, 1, 0))</f>
        <v>0</v>
      </c>
      <c r="U11" s="105">
        <f t="array" ref="U11">+IF(OR($A$4=FALSE, Xbar_R!U14=0), "", IF(MAX(SUM(1*(Xbar_R!S22:'Xbar_R'!U22&gt;S29:U29)),SUM(1*(Xbar_R!S22:'Xbar_R'!U22&lt;S34:U34)))&gt;=2, 1, 0))</f>
        <v>0</v>
      </c>
      <c r="V11" s="105">
        <f t="array" ref="V11">+IF(OR($A$4=FALSE, Xbar_R!V14=0), "", IF(MAX(SUM(1*(Xbar_R!T22:'Xbar_R'!V22&gt;T29:V29)),SUM(1*(Xbar_R!T22:'Xbar_R'!V22&lt;T34:V34)))&gt;=2, 1, 0))</f>
        <v>0</v>
      </c>
      <c r="W11" s="105">
        <f t="array" ref="W11">+IF(OR($A$4=FALSE, Xbar_R!W14=0), "", IF(MAX(SUM(1*(Xbar_R!U22:'Xbar_R'!W22&gt;U29:W29)),SUM(1*(Xbar_R!U22:'Xbar_R'!W22&lt;U34:W34)))&gt;=2, 1, 0))</f>
        <v>0</v>
      </c>
      <c r="X11" s="105">
        <f t="array" ref="X11">+IF(OR($A$4=FALSE, Xbar_R!X14=0), "", IF(MAX(SUM(1*(Xbar_R!V22:'Xbar_R'!X22&gt;V29:X29)),SUM(1*(Xbar_R!V22:'Xbar_R'!X22&lt;V34:X34)))&gt;=2, 1, 0))</f>
        <v>0</v>
      </c>
      <c r="Y11" s="105">
        <f t="array" ref="Y11">+IF(OR($A$4=FALSE, Xbar_R!Y14=0), "", IF(MAX(SUM(1*(Xbar_R!W22:'Xbar_R'!Y22&gt;W29:Y29)),SUM(1*(Xbar_R!W22:'Xbar_R'!Y22&lt;W34:Y34)))&gt;=2, 1, 0))</f>
        <v>0</v>
      </c>
      <c r="Z11" s="105">
        <f t="array" ref="Z11">+IF(OR($A$4=FALSE, Xbar_R!Z14=0), "", IF(MAX(SUM(1*(Xbar_R!X22:'Xbar_R'!Z22&gt;X29:Z29)),SUM(1*(Xbar_R!X22:'Xbar_R'!Z22&lt;X34:Z34)))&gt;=2, 1, 0))</f>
        <v>0</v>
      </c>
      <c r="AA11" s="105">
        <f t="array" ref="AA11">+IF(OR($A$4=FALSE, Xbar_R!AA14=0), "", IF(MAX(SUM(1*(Xbar_R!Y22:'Xbar_R'!AA22&gt;Y29:AA29)),SUM(1*(Xbar_R!Y22:'Xbar_R'!AA22&lt;Y34:AA34)))&gt;=2, 1, 0))</f>
        <v>0</v>
      </c>
      <c r="AB11" s="107">
        <f>+SUM(C11:AA11)</f>
        <v>0</v>
      </c>
      <c r="BC11" s="152"/>
      <c r="BD11" s="152"/>
      <c r="BE11" s="152"/>
      <c r="BF11" s="152"/>
      <c r="BG11" s="152"/>
      <c r="BH11" s="152"/>
      <c r="BI11" s="152"/>
      <c r="BJ11" s="152"/>
      <c r="BK11" s="152"/>
      <c r="BL11" s="152"/>
      <c r="BM11" s="152"/>
      <c r="BN11" s="152"/>
      <c r="BO11" s="152"/>
      <c r="BP11" s="152"/>
      <c r="BQ11" s="152"/>
      <c r="BR11" s="152"/>
      <c r="BS11" s="152"/>
      <c r="BT11" s="152"/>
      <c r="BU11" s="152"/>
      <c r="BV11" s="152"/>
      <c r="BW11" s="152"/>
      <c r="BX11" s="152"/>
      <c r="BY11" s="152"/>
      <c r="BZ11" s="152"/>
      <c r="CA11" s="152"/>
      <c r="CB11" s="152"/>
      <c r="CC11" s="152"/>
      <c r="CD11" s="152"/>
      <c r="CE11" s="152"/>
      <c r="CF11" s="152"/>
      <c r="CG11" s="152"/>
      <c r="CH11" s="152"/>
      <c r="CI11" s="152"/>
      <c r="CJ11" s="152"/>
      <c r="CK11" s="152"/>
      <c r="CL11" s="152"/>
      <c r="CM11" s="152"/>
      <c r="CN11" s="152"/>
      <c r="CO11" s="152"/>
      <c r="CP11" s="152"/>
      <c r="CQ11" s="152"/>
      <c r="CR11" s="152"/>
      <c r="CS11" s="152"/>
      <c r="CT11" s="152"/>
      <c r="CU11" s="152"/>
      <c r="CV11" s="152"/>
      <c r="CW11" s="152"/>
      <c r="CX11" s="152"/>
      <c r="CY11" s="152"/>
      <c r="CZ11" s="152"/>
      <c r="DA11" s="152"/>
      <c r="DB11" s="152"/>
      <c r="DC11" s="152"/>
      <c r="DD11" s="152"/>
      <c r="DE11" s="152"/>
      <c r="DF11" s="152"/>
      <c r="DG11" s="152"/>
      <c r="DH11" s="152"/>
      <c r="DI11" s="152"/>
      <c r="DJ11" s="152"/>
      <c r="DK11" s="152"/>
      <c r="DL11" s="152"/>
      <c r="DM11" s="152"/>
      <c r="DN11" s="152"/>
      <c r="DO11" s="152"/>
      <c r="DP11" s="152"/>
      <c r="DQ11" s="152"/>
      <c r="DR11" s="152"/>
      <c r="DS11" s="152"/>
      <c r="DT11" s="152"/>
      <c r="DU11" s="152"/>
      <c r="DV11" s="152"/>
      <c r="DW11" s="152"/>
      <c r="DX11" s="152"/>
      <c r="DY11" s="152"/>
      <c r="DZ11" s="152"/>
      <c r="EA11" s="152"/>
      <c r="EB11" s="152"/>
      <c r="EC11" s="152"/>
      <c r="ED11" s="152"/>
      <c r="EE11" s="152"/>
      <c r="EF11" s="152"/>
      <c r="EG11" s="152"/>
      <c r="EH11" s="152"/>
      <c r="EI11" s="152"/>
      <c r="EJ11" s="152"/>
      <c r="EK11" s="152"/>
      <c r="EL11" s="152"/>
      <c r="EM11" s="152"/>
      <c r="EN11" s="152"/>
      <c r="EO11" s="152"/>
      <c r="EP11" s="152"/>
      <c r="EQ11" s="152"/>
      <c r="ER11" s="152"/>
      <c r="ES11" s="152"/>
      <c r="ET11" s="152"/>
      <c r="EU11" s="152"/>
      <c r="EV11" s="152"/>
    </row>
    <row r="12" spans="1:158" x14ac:dyDescent="0.2">
      <c r="B12" s="104" t="s">
        <v>49</v>
      </c>
      <c r="C12" s="18"/>
      <c r="D12" s="18"/>
      <c r="E12" s="18"/>
      <c r="F12" s="18"/>
      <c r="G12" s="18">
        <f t="array" ref="G12">IF(OR($A$5=FALSE,Xbar_R!G14=0), "", IF(MAX(SUM(IF(Xbar_R!C22:'Xbar_R'!G22&gt;C31:G31,1,0)), SUM(IF(Xbar_R!C22:'Xbar_R'!G22&lt;C36:G36,1, 0)))&gt;=4, 1, 0))</f>
        <v>0</v>
      </c>
      <c r="H12" s="18" t="str">
        <f t="array" ref="H12">IF(OR($A$5=FALSE,Xbar_R!H14=0), "", IF(MAX(SUM(IF(Xbar_R!D22:'Xbar_R'!H22&gt;D31:H31,1,0)), SUM(IF(Xbar_R!D22:'Xbar_R'!H22&lt;D36:H36,1, 0)))&gt;=4, 1, 0))</f>
        <v/>
      </c>
      <c r="I12" s="18">
        <f t="array" ref="I12">IF(OR($A$5=FALSE,Xbar_R!I14=0), "", IF(MAX(SUM(IF(Xbar_R!E22:'Xbar_R'!I22&gt;E31:I31,1,0)), SUM(IF(Xbar_R!E22:'Xbar_R'!I22&lt;E36:I36,1, 0)))&gt;=4, 1, 0))</f>
        <v>0</v>
      </c>
      <c r="J12" s="18">
        <f t="array" ref="J12">IF(OR($A$5=FALSE,Xbar_R!J14=0), "", IF(MAX(SUM(IF(Xbar_R!F22:'Xbar_R'!J22&gt;F31:J31,1,0)), SUM(IF(Xbar_R!F22:'Xbar_R'!J22&lt;F36:J36,1, 0)))&gt;=4, 1, 0))</f>
        <v>0</v>
      </c>
      <c r="K12" s="18">
        <f t="array" ref="K12">IF(OR($A$5=FALSE,Xbar_R!K14=0), "", IF(MAX(SUM(IF(Xbar_R!G22:'Xbar_R'!K22&gt;G31:K31,1,0)), SUM(IF(Xbar_R!G22:'Xbar_R'!K22&lt;G36:K36,1, 0)))&gt;=4, 1, 0))</f>
        <v>0</v>
      </c>
      <c r="L12" s="18">
        <f t="array" ref="L12">IF(OR($A$5=FALSE,Xbar_R!L14=0), "", IF(MAX(SUM(IF(Xbar_R!H22:'Xbar_R'!L22&gt;H31:L31,1,0)), SUM(IF(Xbar_R!H22:'Xbar_R'!L22&lt;H36:L36,1, 0)))&gt;=4, 1, 0))</f>
        <v>0</v>
      </c>
      <c r="M12" s="18">
        <f t="array" ref="M12">IF(OR($A$5=FALSE,Xbar_R!M14=0), "", IF(MAX(SUM(IF(Xbar_R!I22:'Xbar_R'!M22&gt;I31:M31,1,0)), SUM(IF(Xbar_R!I22:'Xbar_R'!M22&lt;I36:M36,1, 0)))&gt;=4, 1, 0))</f>
        <v>0</v>
      </c>
      <c r="N12" s="18">
        <f t="array" ref="N12">IF(OR($A$5=FALSE,Xbar_R!N14=0), "", IF(MAX(SUM(IF(Xbar_R!J22:'Xbar_R'!N22&gt;J31:N31,1,0)), SUM(IF(Xbar_R!J22:'Xbar_R'!N22&lt;J36:N36,1, 0)))&gt;=4, 1, 0))</f>
        <v>0</v>
      </c>
      <c r="O12" s="18">
        <f t="array" ref="O12">IF(OR($A$5=FALSE,Xbar_R!O14=0), "", IF(MAX(SUM(IF(Xbar_R!K22:'Xbar_R'!O22&gt;K31:O31,1,0)), SUM(IF(Xbar_R!K22:'Xbar_R'!O22&lt;K36:O36,1, 0)))&gt;=4, 1, 0))</f>
        <v>0</v>
      </c>
      <c r="P12" s="18">
        <f t="array" ref="P12">IF(OR($A$5=FALSE,Xbar_R!P14=0), "", IF(MAX(SUM(IF(Xbar_R!L22:'Xbar_R'!P22&gt;L31:P31,1,0)), SUM(IF(Xbar_R!L22:'Xbar_R'!P22&lt;L36:P36,1, 0)))&gt;=4, 1, 0))</f>
        <v>0</v>
      </c>
      <c r="Q12" s="18">
        <f t="array" ref="Q12">IF(OR($A$5=FALSE,Xbar_R!Q14=0), "", IF(MAX(SUM(IF(Xbar_R!M22:'Xbar_R'!Q22&gt;M31:Q31,1,0)), SUM(IF(Xbar_R!M22:'Xbar_R'!Q22&lt;M36:Q36,1, 0)))&gt;=4, 1, 0))</f>
        <v>0</v>
      </c>
      <c r="R12" s="18">
        <f t="array" ref="R12">IF(OR($A$5=FALSE,Xbar_R!R14=0), "", IF(MAX(SUM(IF(Xbar_R!N22:'Xbar_R'!R22&gt;N31:R31,1,0)), SUM(IF(Xbar_R!N22:'Xbar_R'!R22&lt;N36:R36,1, 0)))&gt;=4, 1, 0))</f>
        <v>0</v>
      </c>
      <c r="S12" s="18">
        <f t="array" ref="S12">IF(OR($A$5=FALSE,Xbar_R!S14=0), "", IF(MAX(SUM(IF(Xbar_R!O22:'Xbar_R'!S22&gt;O31:S31,1,0)), SUM(IF(Xbar_R!O22:'Xbar_R'!S22&lt;O36:S36,1, 0)))&gt;=4, 1, 0))</f>
        <v>0</v>
      </c>
      <c r="T12" s="18">
        <f t="array" ref="T12">IF(OR($A$5=FALSE,Xbar_R!T14=0), "", IF(MAX(SUM(IF(Xbar_R!P22:'Xbar_R'!T22&gt;P31:T31,1,0)), SUM(IF(Xbar_R!P22:'Xbar_R'!T22&lt;P36:T36,1, 0)))&gt;=4, 1, 0))</f>
        <v>0</v>
      </c>
      <c r="U12" s="18">
        <f t="array" ref="U12">IF(OR($A$5=FALSE,Xbar_R!U14=0), "", IF(MAX(SUM(IF(Xbar_R!Q22:'Xbar_R'!U22&gt;Q31:U31,1,0)), SUM(IF(Xbar_R!Q22:'Xbar_R'!U22&lt;Q36:U36,1, 0)))&gt;=4, 1, 0))</f>
        <v>0</v>
      </c>
      <c r="V12" s="18">
        <f t="array" ref="V12">IF(OR($A$5=FALSE,Xbar_R!V14=0), "", IF(MAX(SUM(IF(Xbar_R!R22:'Xbar_R'!V22&gt;R31:V31,1,0)), SUM(IF(Xbar_R!R22:'Xbar_R'!V22&lt;R36:V36,1, 0)))&gt;=4, 1, 0))</f>
        <v>0</v>
      </c>
      <c r="W12" s="18">
        <f t="array" ref="W12">IF(OR($A$5=FALSE,Xbar_R!W14=0), "", IF(MAX(SUM(IF(Xbar_R!S22:'Xbar_R'!W22&gt;S31:W31,1,0)), SUM(IF(Xbar_R!S22:'Xbar_R'!W22&lt;S36:W36,1, 0)))&gt;=4, 1, 0))</f>
        <v>0</v>
      </c>
      <c r="X12" s="18">
        <f t="array" ref="X12">IF(OR($A$5=FALSE,Xbar_R!X14=0), "", IF(MAX(SUM(IF(Xbar_R!T22:'Xbar_R'!X22&gt;T31:X31,1,0)), SUM(IF(Xbar_R!T22:'Xbar_R'!X22&lt;T36:X36,1, 0)))&gt;=4, 1, 0))</f>
        <v>0</v>
      </c>
      <c r="Y12" s="18">
        <f t="array" ref="Y12">IF(OR($A$5=FALSE,Xbar_R!Y14=0), "", IF(MAX(SUM(IF(Xbar_R!U22:'Xbar_R'!Y22&gt;U31:Y31,1,0)), SUM(IF(Xbar_R!U22:'Xbar_R'!Y22&lt;U36:Y36,1, 0)))&gt;=4, 1, 0))</f>
        <v>0</v>
      </c>
      <c r="Z12" s="18">
        <f t="array" ref="Z12">IF(OR($A$5=FALSE,Xbar_R!Z14=0), "", IF(MAX(SUM(IF(Xbar_R!V22:'Xbar_R'!Z22&gt;V31:Z31,1,0)), SUM(IF(Xbar_R!V22:'Xbar_R'!Z22&lt;V36:Z36,1, 0)))&gt;=4, 1, 0))</f>
        <v>0</v>
      </c>
      <c r="AA12" s="18">
        <f t="array" ref="AA12">IF(OR($A$5=FALSE,Xbar_R!AA14=0), "", IF(MAX(SUM(IF(Xbar_R!W22:'Xbar_R'!AA22&gt;W31:AA31,1,0)), SUM(IF(Xbar_R!W22:'Xbar_R'!AA22&lt;W36:AA36,1, 0)))&gt;=4, 1, 0))</f>
        <v>0</v>
      </c>
      <c r="AB12" s="108">
        <f>+SUM(C12:AA12)</f>
        <v>0</v>
      </c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2"/>
      <c r="CD12" s="152"/>
      <c r="CE12" s="152"/>
      <c r="CF12" s="152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2"/>
      <c r="CT12" s="152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2"/>
      <c r="DW12" s="152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2"/>
      <c r="EJ12" s="152"/>
      <c r="EK12" s="152"/>
      <c r="EL12" s="152"/>
      <c r="EM12" s="152"/>
      <c r="EN12" s="152"/>
      <c r="EO12" s="152"/>
      <c r="EP12" s="152"/>
      <c r="EQ12" s="152"/>
      <c r="ER12" s="152"/>
      <c r="ES12" s="152"/>
      <c r="ET12" s="152"/>
      <c r="EU12" s="152"/>
      <c r="EV12" s="152"/>
    </row>
    <row r="13" spans="1:158" x14ac:dyDescent="0.2">
      <c r="B13" s="100" t="s">
        <v>50</v>
      </c>
      <c r="C13" s="105"/>
      <c r="D13" s="105"/>
      <c r="E13" s="105"/>
      <c r="F13" s="105"/>
      <c r="G13" s="105"/>
      <c r="H13" s="105"/>
      <c r="I13" s="105">
        <f t="array" ref="I13">IF(OR($A$6=FALSE,Xbar_R!I14=0),"",IF(MAX(SUM(IF(Xbar_R!C22:'Xbar_R'!I22&gt;Xbar_R!C20:'Xbar_R'!I20,1,0)),SUM(IF(Xbar_R!C22:'Xbar_R'!I22&lt;Xbar_R!C20:'Xbar_R'!I20,1,0)))&gt;=7,1,0))</f>
        <v>0</v>
      </c>
      <c r="J13" s="105">
        <f t="array" ref="J13">IF(OR($A$6=FALSE,Xbar_R!J14=0),"",IF(MAX(SUM(IF(Xbar_R!D22:'Xbar_R'!J22&gt;Xbar_R!D20:'Xbar_R'!J20,1,0)),SUM(IF(Xbar_R!D22:'Xbar_R'!J22&lt;Xbar_R!D20:'Xbar_R'!J20,1,0)))&gt;=7,1,0))</f>
        <v>0</v>
      </c>
      <c r="K13" s="105">
        <f t="array" ref="K13">IF(OR($A$6=FALSE,Xbar_R!K14=0),"",IF(MAX(SUM(IF(Xbar_R!E22:'Xbar_R'!K22&gt;Xbar_R!E20:'Xbar_R'!K20,1,0)),SUM(IF(Xbar_R!E22:'Xbar_R'!K22&lt;Xbar_R!E20:'Xbar_R'!K20,1,0)))&gt;=7,1,0))</f>
        <v>0</v>
      </c>
      <c r="L13" s="105">
        <f t="array" ref="L13">IF(OR($A$6=FALSE,Xbar_R!L14=0),"",IF(MAX(SUM(IF(Xbar_R!F22:'Xbar_R'!L22&gt;Xbar_R!F20:'Xbar_R'!L20,1,0)),SUM(IF(Xbar_R!F22:'Xbar_R'!L22&lt;Xbar_R!F20:'Xbar_R'!L20,1,0)))&gt;=7,1,0))</f>
        <v>0</v>
      </c>
      <c r="M13" s="105">
        <f t="array" ref="M13">IF(OR($A$6=FALSE,Xbar_R!M14=0),"",IF(MAX(SUM(IF(Xbar_R!G22:'Xbar_R'!M22&gt;Xbar_R!G20:'Xbar_R'!M20,1,0)),SUM(IF(Xbar_R!G22:'Xbar_R'!M22&lt;Xbar_R!G20:'Xbar_R'!M20,1,0)))&gt;=7,1,0))</f>
        <v>0</v>
      </c>
      <c r="N13" s="105">
        <f t="array" ref="N13">IF(OR($A$6=FALSE,Xbar_R!N14=0),"",IF(MAX(SUM(IF(Xbar_R!H22:'Xbar_R'!N22&gt;Xbar_R!H20:'Xbar_R'!N20,1,0)),SUM(IF(Xbar_R!H22:'Xbar_R'!N22&lt;Xbar_R!H20:'Xbar_R'!N20,1,0)))&gt;=7,1,0))</f>
        <v>0</v>
      </c>
      <c r="O13" s="105">
        <f t="array" ref="O13">IF(OR($A$6=FALSE,Xbar_R!O14=0),"",IF(MAX(SUM(IF(Xbar_R!I22:'Xbar_R'!O22&gt;Xbar_R!I20:'Xbar_R'!O20,1,0)),SUM(IF(Xbar_R!I22:'Xbar_R'!O22&lt;Xbar_R!I20:'Xbar_R'!O20,1,0)))&gt;=7,1,0))</f>
        <v>0</v>
      </c>
      <c r="P13" s="105">
        <f t="array" ref="P13">IF(OR($A$6=FALSE,Xbar_R!P14=0),"",IF(MAX(SUM(IF(Xbar_R!J22:'Xbar_R'!P22&gt;Xbar_R!J20:'Xbar_R'!P20,1,0)),SUM(IF(Xbar_R!J22:'Xbar_R'!P22&lt;Xbar_R!J20:'Xbar_R'!P20,1,0)))&gt;=7,1,0))</f>
        <v>0</v>
      </c>
      <c r="Q13" s="105">
        <f t="array" ref="Q13">IF(OR($A$6=FALSE,Xbar_R!Q14=0),"",IF(MAX(SUM(IF(Xbar_R!K22:'Xbar_R'!Q22&gt;Xbar_R!K20:'Xbar_R'!Q20,1,0)),SUM(IF(Xbar_R!K22:'Xbar_R'!Q22&lt;Xbar_R!K20:'Xbar_R'!Q20,1,0)))&gt;=7,1,0))</f>
        <v>0</v>
      </c>
      <c r="R13" s="105">
        <f t="array" ref="R13">IF(OR($A$6=FALSE,Xbar_R!R14=0),"",IF(MAX(SUM(IF(Xbar_R!L22:'Xbar_R'!R22&gt;Xbar_R!L20:'Xbar_R'!R20,1,0)),SUM(IF(Xbar_R!L22:'Xbar_R'!R22&lt;Xbar_R!L20:'Xbar_R'!R20,1,0)))&gt;=7,1,0))</f>
        <v>0</v>
      </c>
      <c r="S13" s="105">
        <f t="array" ref="S13">IF(OR($A$6=FALSE,Xbar_R!S14=0),"",IF(MAX(SUM(IF(Xbar_R!M22:'Xbar_R'!S22&gt;Xbar_R!M20:'Xbar_R'!S20,1,0)),SUM(IF(Xbar_R!M22:'Xbar_R'!S22&lt;Xbar_R!M20:'Xbar_R'!S20,1,0)))&gt;=7,1,0))</f>
        <v>0</v>
      </c>
      <c r="T13" s="105">
        <f t="array" ref="T13">IF(OR($A$6=FALSE,Xbar_R!T14=0),"",IF(MAX(SUM(IF(Xbar_R!N22:'Xbar_R'!T22&gt;Xbar_R!N20:'Xbar_R'!T20,1,0)),SUM(IF(Xbar_R!N22:'Xbar_R'!T22&lt;Xbar_R!N20:'Xbar_R'!T20,1,0)))&gt;=7,1,0))</f>
        <v>0</v>
      </c>
      <c r="U13" s="105">
        <f t="array" ref="U13">IF(OR($A$6=FALSE,Xbar_R!U14=0),"",IF(MAX(SUM(IF(Xbar_R!O22:'Xbar_R'!U22&gt;Xbar_R!O20:'Xbar_R'!U20,1,0)),SUM(IF(Xbar_R!O22:'Xbar_R'!U22&lt;Xbar_R!O20:'Xbar_R'!U20,1,0)))&gt;=7,1,0))</f>
        <v>0</v>
      </c>
      <c r="V13" s="105">
        <f t="array" ref="V13">IF(OR($A$6=FALSE,Xbar_R!V14=0),"",IF(MAX(SUM(IF(Xbar_R!P22:'Xbar_R'!V22&gt;Xbar_R!P20:'Xbar_R'!V20,1,0)),SUM(IF(Xbar_R!P22:'Xbar_R'!V22&lt;Xbar_R!P20:'Xbar_R'!V20,1,0)))&gt;=7,1,0))</f>
        <v>0</v>
      </c>
      <c r="W13" s="105">
        <f t="array" ref="W13">IF(OR($A$6=FALSE,Xbar_R!W14=0),"",IF(MAX(SUM(IF(Xbar_R!Q22:'Xbar_R'!W22&gt;Xbar_R!Q20:'Xbar_R'!W20,1,0)),SUM(IF(Xbar_R!Q22:'Xbar_R'!W22&lt;Xbar_R!Q20:'Xbar_R'!W20,1,0)))&gt;=7,1,0))</f>
        <v>0</v>
      </c>
      <c r="X13" s="105">
        <f t="array" ref="X13">IF(OR($A$6=FALSE,Xbar_R!X14=0),"",IF(MAX(SUM(IF(Xbar_R!R22:'Xbar_R'!X22&gt;Xbar_R!R20:'Xbar_R'!X20,1,0)),SUM(IF(Xbar_R!R22:'Xbar_R'!X22&lt;Xbar_R!R20:'Xbar_R'!X20,1,0)))&gt;=7,1,0))</f>
        <v>0</v>
      </c>
      <c r="Y13" s="105">
        <f t="array" ref="Y13">IF(OR($A$6=FALSE,Xbar_R!Y14=0),"",IF(MAX(SUM(IF(Xbar_R!S22:'Xbar_R'!Y22&gt;Xbar_R!S20:'Xbar_R'!Y20,1,0)),SUM(IF(Xbar_R!S22:'Xbar_R'!Y22&lt;Xbar_R!S20:'Xbar_R'!Y20,1,0)))&gt;=7,1,0))</f>
        <v>0</v>
      </c>
      <c r="Z13" s="105">
        <f t="array" ref="Z13">IF(OR($A$6=FALSE,Xbar_R!Z14=0),"",IF(MAX(SUM(IF(Xbar_R!T22:'Xbar_R'!Z22&gt;Xbar_R!T20:'Xbar_R'!Z20,1,0)),SUM(IF(Xbar_R!T22:'Xbar_R'!Z22&lt;Xbar_R!T20:'Xbar_R'!Z20,1,0)))&gt;=7,1,0))</f>
        <v>0</v>
      </c>
      <c r="AA13" s="105">
        <f t="array" ref="AA13">IF(OR($A$6=FALSE,Xbar_R!AA14=0),"",IF(MAX(SUM(IF(Xbar_R!U22:'Xbar_R'!AA22&gt;Xbar_R!U20:'Xbar_R'!AA20,1,0)),SUM(IF(Xbar_R!U22:'Xbar_R'!AA22&lt;Xbar_R!U20:'Xbar_R'!AA20,1,0)))&gt;=7,1,0))</f>
        <v>0</v>
      </c>
      <c r="AB13" s="107">
        <f>+SUM(C13:AA13)</f>
        <v>0</v>
      </c>
      <c r="BC13" s="152"/>
      <c r="BD13" s="152"/>
      <c r="BE13" s="152"/>
      <c r="BF13" s="152"/>
      <c r="BG13" s="152"/>
      <c r="BH13" s="152"/>
      <c r="BI13" s="152"/>
      <c r="BJ13" s="152"/>
      <c r="BK13" s="152"/>
      <c r="BL13" s="152"/>
      <c r="BM13" s="152"/>
      <c r="BN13" s="152"/>
      <c r="BO13" s="152"/>
      <c r="BP13" s="152"/>
      <c r="BQ13" s="152"/>
      <c r="BR13" s="152"/>
      <c r="BS13" s="152"/>
      <c r="BT13" s="152"/>
      <c r="BU13" s="152"/>
      <c r="BV13" s="152"/>
      <c r="BW13" s="152"/>
      <c r="BX13" s="152"/>
      <c r="BY13" s="152"/>
      <c r="BZ13" s="152"/>
      <c r="CA13" s="152"/>
      <c r="CB13" s="152"/>
      <c r="CC13" s="152"/>
      <c r="CD13" s="152"/>
      <c r="CE13" s="152"/>
      <c r="CF13" s="152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2"/>
      <c r="CT13" s="152"/>
      <c r="CU13" s="152"/>
      <c r="CV13" s="152"/>
      <c r="CW13" s="152"/>
      <c r="CX13" s="152"/>
      <c r="CY13" s="152"/>
      <c r="CZ13" s="152"/>
      <c r="DA13" s="152"/>
      <c r="DB13" s="152"/>
      <c r="DC13" s="152"/>
      <c r="DD13" s="152"/>
      <c r="DE13" s="152"/>
      <c r="DF13" s="152"/>
      <c r="DG13" s="152"/>
      <c r="DH13" s="152"/>
      <c r="DI13" s="152"/>
      <c r="DJ13" s="152"/>
      <c r="DK13" s="152"/>
      <c r="DL13" s="152"/>
      <c r="DM13" s="152"/>
      <c r="DN13" s="152"/>
      <c r="DO13" s="152"/>
      <c r="DP13" s="152"/>
      <c r="DQ13" s="152"/>
      <c r="DR13" s="152"/>
      <c r="DS13" s="152"/>
      <c r="DT13" s="152"/>
      <c r="DU13" s="152"/>
      <c r="DV13" s="152"/>
      <c r="DW13" s="152"/>
      <c r="DX13" s="152"/>
      <c r="DY13" s="152"/>
      <c r="DZ13" s="152"/>
      <c r="EA13" s="152"/>
      <c r="EB13" s="152"/>
      <c r="EC13" s="152"/>
      <c r="ED13" s="152"/>
      <c r="EE13" s="152"/>
      <c r="EF13" s="152"/>
      <c r="EG13" s="152"/>
      <c r="EH13" s="152"/>
      <c r="EI13" s="152"/>
      <c r="EJ13" s="152"/>
      <c r="EK13" s="152"/>
      <c r="EL13" s="152"/>
      <c r="EM13" s="152"/>
      <c r="EN13" s="152"/>
      <c r="EO13" s="152"/>
      <c r="EP13" s="152"/>
      <c r="EQ13" s="152"/>
      <c r="ER13" s="152"/>
      <c r="ES13" s="152"/>
      <c r="ET13" s="152"/>
      <c r="EU13" s="152"/>
      <c r="EV13" s="152"/>
    </row>
    <row r="14" spans="1:158" ht="13.5" thickBot="1" x14ac:dyDescent="0.25">
      <c r="B14" s="110" t="s">
        <v>51</v>
      </c>
      <c r="C14" s="106"/>
      <c r="D14" s="106"/>
      <c r="E14" s="106"/>
      <c r="F14" s="106"/>
      <c r="G14" s="106">
        <f t="array" ref="G14">IF(OR($A$7=FALSE,Xbar_R!G14=0), "", MAX(SUM(IF(AND(Xbar_R!C22:'Xbar_R'!F22&gt;Xbar_R!D22:'Xbar_R'!G22),1, 0)), SUM(IF(AND(Xbar_R!C22:'Xbar_R'!F22&lt;Xbar_R!D22:'Xbar_R'!G22), 1, 0))))</f>
        <v>0</v>
      </c>
      <c r="H14" s="106" t="str">
        <f t="array" ref="H14">IF(OR($A$7=FALSE,Xbar_R!H14=0), "", MAX(SUM(IF(AND(Xbar_R!D22:'Xbar_R'!G22&gt;Xbar_R!E22:'Xbar_R'!H22),1, 0)), SUM(IF(AND(Xbar_R!D22:'Xbar_R'!G22&lt;Xbar_R!E22:'Xbar_R'!H22), 1, 0))))</f>
        <v/>
      </c>
      <c r="I14" s="106">
        <f t="array" ref="I14">IF(OR($A$7=FALSE,Xbar_R!I14=0), "", MAX(SUM(IF(AND(Xbar_R!E22:'Xbar_R'!H22&gt;Xbar_R!F22:'Xbar_R'!I22),1, 0)), SUM(IF(AND(Xbar_R!E22:'Xbar_R'!H22&lt;Xbar_R!F22:'Xbar_R'!I22), 1, 0))))</f>
        <v>0</v>
      </c>
      <c r="J14" s="106">
        <f t="array" ref="J14">IF(OR($A$7=FALSE,Xbar_R!J14=0), "", MAX(SUM(IF(AND(Xbar_R!F22:'Xbar_R'!I22&gt;Xbar_R!G22:'Xbar_R'!J22),1, 0)), SUM(IF(AND(Xbar_R!F22:'Xbar_R'!I22&lt;Xbar_R!G22:'Xbar_R'!J22), 1, 0))))</f>
        <v>0</v>
      </c>
      <c r="K14" s="106">
        <f t="array" ref="K14">IF(OR($A$7=FALSE,Xbar_R!K14=0), "", MAX(SUM(IF(AND(Xbar_R!G22:'Xbar_R'!J22&gt;Xbar_R!H22:'Xbar_R'!K22),1, 0)), SUM(IF(AND(Xbar_R!G22:'Xbar_R'!J22&lt;Xbar_R!H22:'Xbar_R'!K22), 1, 0))))</f>
        <v>0</v>
      </c>
      <c r="L14" s="106">
        <f t="array" ref="L14">IF(OR($A$7=FALSE,Xbar_R!L14=0), "", MAX(SUM(IF(AND(Xbar_R!H22:'Xbar_R'!K22&gt;Xbar_R!I22:'Xbar_R'!L22),1, 0)), SUM(IF(AND(Xbar_R!H22:'Xbar_R'!K22&lt;Xbar_R!I22:'Xbar_R'!L22), 1, 0))))</f>
        <v>0</v>
      </c>
      <c r="M14" s="106">
        <f t="array" ref="M14">IF(OR($A$7=FALSE,Xbar_R!M14=0), "", MAX(SUM(IF(AND(Xbar_R!I22:'Xbar_R'!L22&gt;Xbar_R!J22:'Xbar_R'!M22),1, 0)), SUM(IF(AND(Xbar_R!I22:'Xbar_R'!L22&lt;Xbar_R!J22:'Xbar_R'!M22), 1, 0))))</f>
        <v>0</v>
      </c>
      <c r="N14" s="106">
        <f t="array" ref="N14">IF(OR($A$7=FALSE,Xbar_R!N14=0), "", MAX(SUM(IF(AND(Xbar_R!J22:'Xbar_R'!M22&gt;Xbar_R!K22:'Xbar_R'!N22),1, 0)), SUM(IF(AND(Xbar_R!J22:'Xbar_R'!M22&lt;Xbar_R!K22:'Xbar_R'!N22), 1, 0))))</f>
        <v>0</v>
      </c>
      <c r="O14" s="106">
        <f t="array" ref="O14">IF(OR($A$7=FALSE,Xbar_R!O14=0), "", MAX(SUM(IF(AND(Xbar_R!K22:'Xbar_R'!N22&gt;Xbar_R!L22:'Xbar_R'!O22),1, 0)), SUM(IF(AND(Xbar_R!K22:'Xbar_R'!N22&lt;Xbar_R!L22:'Xbar_R'!O22), 1, 0))))</f>
        <v>0</v>
      </c>
      <c r="P14" s="106">
        <f t="array" ref="P14">IF(OR($A$7=FALSE,Xbar_R!P14=0), "", MAX(SUM(IF(AND(Xbar_R!L22:'Xbar_R'!O22&gt;Xbar_R!M22:'Xbar_R'!P22),1, 0)), SUM(IF(AND(Xbar_R!L22:'Xbar_R'!O22&lt;Xbar_R!M22:'Xbar_R'!P22), 1, 0))))</f>
        <v>0</v>
      </c>
      <c r="Q14" s="106">
        <f t="array" ref="Q14">IF(OR($A$7=FALSE,Xbar_R!Q14=0), "", MAX(SUM(IF(AND(Xbar_R!M22:'Xbar_R'!P22&gt;Xbar_R!N22:'Xbar_R'!Q22),1, 0)), SUM(IF(AND(Xbar_R!M22:'Xbar_R'!P22&lt;Xbar_R!N22:'Xbar_R'!Q22), 1, 0))))</f>
        <v>0</v>
      </c>
      <c r="R14" s="106">
        <f t="array" ref="R14">IF(OR($A$7=FALSE,Xbar_R!R14=0), "", MAX(SUM(IF(AND(Xbar_R!N22:'Xbar_R'!Q22&gt;Xbar_R!O22:'Xbar_R'!R22),1, 0)), SUM(IF(AND(Xbar_R!N22:'Xbar_R'!Q22&lt;Xbar_R!O22:'Xbar_R'!R22), 1, 0))))</f>
        <v>0</v>
      </c>
      <c r="S14" s="106">
        <f t="array" ref="S14">IF(OR($A$7=FALSE,Xbar_R!S14=0), "", MAX(SUM(IF(AND(Xbar_R!O22:'Xbar_R'!R22&gt;Xbar_R!P22:'Xbar_R'!S22),1, 0)), SUM(IF(AND(Xbar_R!O22:'Xbar_R'!R22&lt;Xbar_R!P22:'Xbar_R'!S22), 1, 0))))</f>
        <v>0</v>
      </c>
      <c r="T14" s="106">
        <f t="array" ref="T14">IF(OR($A$7=FALSE,Xbar_R!T14=0), "", MAX(SUM(IF(AND(Xbar_R!P22:'Xbar_R'!S22&gt;Xbar_R!Q22:'Xbar_R'!T22),1, 0)), SUM(IF(AND(Xbar_R!P22:'Xbar_R'!S22&lt;Xbar_R!Q22:'Xbar_R'!T22), 1, 0))))</f>
        <v>0</v>
      </c>
      <c r="U14" s="106">
        <f t="array" ref="U14">IF(OR($A$7=FALSE,Xbar_R!U14=0), "", MAX(SUM(IF(AND(Xbar_R!Q22:'Xbar_R'!T22&gt;Xbar_R!R22:'Xbar_R'!U22),1, 0)), SUM(IF(AND(Xbar_R!Q22:'Xbar_R'!T22&lt;Xbar_R!R22:'Xbar_R'!U22), 1, 0))))</f>
        <v>0</v>
      </c>
      <c r="V14" s="106">
        <f t="array" ref="V14">IF(OR($A$7=FALSE,Xbar_R!V14=0), "", MAX(SUM(IF(AND(Xbar_R!R22:'Xbar_R'!U22&gt;Xbar_R!S22:'Xbar_R'!V22),1, 0)), SUM(IF(AND(Xbar_R!R22:'Xbar_R'!U22&lt;Xbar_R!S22:'Xbar_R'!V22), 1, 0))))</f>
        <v>0</v>
      </c>
      <c r="W14" s="106">
        <f t="array" ref="W14">IF(OR($A$7=FALSE,Xbar_R!W14=0), "", MAX(SUM(IF(AND(Xbar_R!S22:'Xbar_R'!V22&gt;Xbar_R!T22:'Xbar_R'!W22),1, 0)), SUM(IF(AND(Xbar_R!S22:'Xbar_R'!V22&lt;Xbar_R!T22:'Xbar_R'!W22), 1, 0))))</f>
        <v>0</v>
      </c>
      <c r="X14" s="106">
        <f t="array" ref="X14">IF(OR($A$7=FALSE,Xbar_R!X14=0), "", MAX(SUM(IF(AND(Xbar_R!T22:'Xbar_R'!W22&gt;Xbar_R!U22:'Xbar_R'!X22),1, 0)), SUM(IF(AND(Xbar_R!T22:'Xbar_R'!W22&lt;Xbar_R!U22:'Xbar_R'!X22), 1, 0))))</f>
        <v>0</v>
      </c>
      <c r="Y14" s="106">
        <f t="array" ref="Y14">IF(OR($A$7=FALSE,Xbar_R!Y14=0), "", MAX(SUM(IF(AND(Xbar_R!U22:'Xbar_R'!X22&gt;Xbar_R!V22:'Xbar_R'!Y22),1, 0)), SUM(IF(AND(Xbar_R!U22:'Xbar_R'!X22&lt;Xbar_R!V22:'Xbar_R'!Y22), 1, 0))))</f>
        <v>0</v>
      </c>
      <c r="Z14" s="106">
        <f t="array" ref="Z14">IF(OR($A$7=FALSE,Xbar_R!Z14=0), "", MAX(SUM(IF(AND(Xbar_R!V22:'Xbar_R'!Y22&gt;Xbar_R!W22:'Xbar_R'!Z22),1, 0)), SUM(IF(AND(Xbar_R!V22:'Xbar_R'!Y22&lt;Xbar_R!W22:'Xbar_R'!Z22), 1, 0))))</f>
        <v>0</v>
      </c>
      <c r="AA14" s="106">
        <f t="array" ref="AA14">IF(OR($A$7=FALSE,Xbar_R!AA14=0), "", MAX(SUM(IF(AND(Xbar_R!W22:'Xbar_R'!Z22&gt;Xbar_R!X22:'Xbar_R'!AA22),1, 0)), SUM(IF(AND(Xbar_R!W22:'Xbar_R'!Z22&lt;Xbar_R!X22:'Xbar_R'!AA22), 1, 0))))</f>
        <v>0</v>
      </c>
      <c r="AB14" s="111">
        <f>+SUM(C14:AA14)</f>
        <v>0</v>
      </c>
      <c r="BC14" s="152"/>
      <c r="BD14" s="152"/>
      <c r="BE14" s="152"/>
      <c r="BF14" s="152"/>
      <c r="BG14" s="152"/>
      <c r="BH14" s="152"/>
      <c r="BI14" s="152"/>
      <c r="BJ14" s="152"/>
      <c r="BK14" s="152"/>
      <c r="BL14" s="152"/>
      <c r="BM14" s="152"/>
      <c r="BN14" s="152"/>
      <c r="BO14" s="152"/>
      <c r="BP14" s="152"/>
      <c r="BQ14" s="152"/>
      <c r="BR14" s="152"/>
      <c r="BS14" s="152"/>
      <c r="BT14" s="152"/>
      <c r="BU14" s="152"/>
      <c r="BV14" s="152"/>
      <c r="BW14" s="152"/>
      <c r="BX14" s="152"/>
      <c r="BY14" s="152"/>
      <c r="BZ14" s="152"/>
      <c r="CA14" s="152"/>
      <c r="CB14" s="152"/>
      <c r="CC14" s="152"/>
      <c r="CD14" s="152"/>
      <c r="CE14" s="152"/>
      <c r="CF14" s="152"/>
      <c r="CG14" s="152"/>
      <c r="CH14" s="152"/>
      <c r="CI14" s="152"/>
      <c r="CJ14" s="152"/>
      <c r="CK14" s="152"/>
      <c r="CL14" s="152"/>
      <c r="CM14" s="152"/>
      <c r="CN14" s="152"/>
      <c r="CO14" s="152"/>
      <c r="CP14" s="152"/>
      <c r="CQ14" s="152"/>
      <c r="CR14" s="152"/>
      <c r="CS14" s="152"/>
      <c r="CT14" s="152"/>
      <c r="CU14" s="152"/>
      <c r="CV14" s="152"/>
      <c r="CW14" s="152"/>
      <c r="CX14" s="152"/>
      <c r="CY14" s="152"/>
      <c r="CZ14" s="152"/>
      <c r="DA14" s="152"/>
      <c r="DB14" s="152"/>
      <c r="DC14" s="152"/>
      <c r="DD14" s="152"/>
      <c r="DE14" s="152"/>
      <c r="DF14" s="152"/>
      <c r="DG14" s="152"/>
      <c r="DH14" s="152"/>
      <c r="DI14" s="152"/>
      <c r="DJ14" s="152"/>
      <c r="DK14" s="152"/>
      <c r="DL14" s="152"/>
      <c r="DM14" s="152"/>
      <c r="DN14" s="152"/>
      <c r="DO14" s="152"/>
      <c r="DP14" s="152"/>
      <c r="DQ14" s="152"/>
      <c r="DR14" s="152"/>
      <c r="DS14" s="152"/>
      <c r="DT14" s="152"/>
      <c r="DU14" s="152"/>
      <c r="DV14" s="152"/>
      <c r="DW14" s="152"/>
      <c r="DX14" s="152"/>
      <c r="DY14" s="152"/>
      <c r="DZ14" s="152"/>
      <c r="EA14" s="152"/>
      <c r="EB14" s="152"/>
      <c r="EC14" s="152"/>
      <c r="ED14" s="152"/>
      <c r="EE14" s="152"/>
      <c r="EF14" s="152"/>
      <c r="EG14" s="152"/>
      <c r="EH14" s="152"/>
      <c r="EI14" s="152"/>
      <c r="EJ14" s="152"/>
      <c r="EK14" s="152"/>
      <c r="EL14" s="152"/>
      <c r="EM14" s="152"/>
      <c r="EN14" s="152"/>
      <c r="EO14" s="152"/>
      <c r="EP14" s="152"/>
      <c r="EQ14" s="152"/>
      <c r="ER14" s="152"/>
      <c r="ES14" s="152"/>
      <c r="ET14" s="152"/>
      <c r="EU14" s="152"/>
      <c r="EV14" s="152"/>
    </row>
    <row r="15" spans="1:158" ht="13.5" thickBot="1" x14ac:dyDescent="0.25">
      <c r="B15" s="113"/>
      <c r="C15" s="114">
        <f t="shared" ref="C15:AA15" si="0">+SUM(C10:C14)</f>
        <v>0</v>
      </c>
      <c r="D15" s="114">
        <f t="shared" si="0"/>
        <v>0</v>
      </c>
      <c r="E15" s="114">
        <f t="shared" si="0"/>
        <v>0</v>
      </c>
      <c r="F15" s="114">
        <f t="shared" si="0"/>
        <v>0</v>
      </c>
      <c r="G15" s="114">
        <f t="shared" si="0"/>
        <v>0</v>
      </c>
      <c r="H15" s="114">
        <f t="shared" si="0"/>
        <v>0</v>
      </c>
      <c r="I15" s="114">
        <f t="shared" si="0"/>
        <v>0</v>
      </c>
      <c r="J15" s="114">
        <f t="shared" si="0"/>
        <v>0</v>
      </c>
      <c r="K15" s="114">
        <f t="shared" si="0"/>
        <v>0</v>
      </c>
      <c r="L15" s="114">
        <f t="shared" si="0"/>
        <v>0</v>
      </c>
      <c r="M15" s="114">
        <f t="shared" si="0"/>
        <v>0</v>
      </c>
      <c r="N15" s="114">
        <f t="shared" si="0"/>
        <v>0</v>
      </c>
      <c r="O15" s="114">
        <f t="shared" si="0"/>
        <v>0</v>
      </c>
      <c r="P15" s="114">
        <f t="shared" si="0"/>
        <v>0</v>
      </c>
      <c r="Q15" s="114">
        <f t="shared" si="0"/>
        <v>0</v>
      </c>
      <c r="R15" s="114">
        <f t="shared" si="0"/>
        <v>0</v>
      </c>
      <c r="S15" s="114">
        <f t="shared" si="0"/>
        <v>0</v>
      </c>
      <c r="T15" s="114">
        <f t="shared" si="0"/>
        <v>0</v>
      </c>
      <c r="U15" s="114">
        <f t="shared" si="0"/>
        <v>0</v>
      </c>
      <c r="V15" s="114">
        <f t="shared" si="0"/>
        <v>0</v>
      </c>
      <c r="W15" s="114">
        <f t="shared" si="0"/>
        <v>0</v>
      </c>
      <c r="X15" s="114">
        <f t="shared" si="0"/>
        <v>0</v>
      </c>
      <c r="Y15" s="114">
        <f t="shared" si="0"/>
        <v>0</v>
      </c>
      <c r="Z15" s="114">
        <f t="shared" si="0"/>
        <v>0</v>
      </c>
      <c r="AA15" s="114">
        <f t="shared" si="0"/>
        <v>0</v>
      </c>
      <c r="AB15" s="150">
        <f>+SUM(AB10:AB14)</f>
        <v>0</v>
      </c>
      <c r="BC15" s="152"/>
      <c r="BD15" s="152"/>
      <c r="BE15" s="152"/>
      <c r="BF15" s="152"/>
      <c r="BG15" s="152"/>
      <c r="BH15" s="152"/>
      <c r="BI15" s="152"/>
      <c r="BJ15" s="152"/>
      <c r="BK15" s="152"/>
      <c r="BL15" s="152"/>
      <c r="BM15" s="152"/>
      <c r="BN15" s="152"/>
      <c r="BO15" s="152"/>
      <c r="BP15" s="152"/>
      <c r="BQ15" s="152"/>
      <c r="BR15" s="152"/>
      <c r="BS15" s="152"/>
      <c r="BT15" s="152"/>
      <c r="BU15" s="152"/>
      <c r="BV15" s="152"/>
      <c r="BW15" s="152"/>
      <c r="BX15" s="152"/>
      <c r="BY15" s="152"/>
      <c r="BZ15" s="152"/>
      <c r="CA15" s="152"/>
      <c r="CB15" s="152"/>
      <c r="CC15" s="152"/>
      <c r="CD15" s="152"/>
      <c r="CE15" s="152"/>
      <c r="CF15" s="152"/>
      <c r="CG15" s="152"/>
      <c r="CH15" s="152"/>
      <c r="CI15" s="152"/>
      <c r="CJ15" s="152"/>
      <c r="CK15" s="152"/>
      <c r="CL15" s="152"/>
      <c r="CM15" s="152"/>
      <c r="CN15" s="152"/>
      <c r="CO15" s="152"/>
      <c r="CP15" s="152"/>
      <c r="CQ15" s="152"/>
      <c r="CR15" s="152"/>
      <c r="CS15" s="152"/>
      <c r="CT15" s="152"/>
      <c r="CU15" s="152"/>
      <c r="CV15" s="152"/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2"/>
      <c r="DJ15" s="152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2"/>
      <c r="DW15" s="152"/>
      <c r="DX15" s="152"/>
      <c r="DY15" s="152"/>
      <c r="DZ15" s="152"/>
      <c r="EA15" s="152"/>
      <c r="EB15" s="152"/>
      <c r="EC15" s="152"/>
      <c r="ED15" s="152"/>
      <c r="EE15" s="152"/>
      <c r="EF15" s="152"/>
      <c r="EG15" s="152"/>
      <c r="EH15" s="152"/>
      <c r="EI15" s="152"/>
      <c r="EJ15" s="152"/>
      <c r="EK15" s="152"/>
      <c r="EL15" s="152"/>
      <c r="EM15" s="152"/>
      <c r="EN15" s="152"/>
      <c r="EO15" s="152"/>
      <c r="EP15" s="152"/>
      <c r="EQ15" s="152"/>
      <c r="ER15" s="152"/>
      <c r="ES15" s="152"/>
      <c r="ET15" s="152"/>
      <c r="EU15" s="152"/>
      <c r="EV15" s="152"/>
      <c r="EW15" s="152"/>
      <c r="EX15" s="152"/>
      <c r="EY15" s="152"/>
      <c r="EZ15" s="152"/>
      <c r="FA15" s="152"/>
      <c r="FB15" s="152"/>
    </row>
    <row r="16" spans="1:158" ht="13.5" thickTop="1" x14ac:dyDescent="0.2">
      <c r="B16" s="112" t="s">
        <v>102</v>
      </c>
      <c r="C16" s="98"/>
      <c r="D16" s="98"/>
      <c r="E16" s="118" t="s">
        <v>65</v>
      </c>
      <c r="F16" s="119"/>
      <c r="G16" s="119"/>
      <c r="H16" s="119"/>
      <c r="I16" s="119"/>
      <c r="J16" s="119"/>
      <c r="K16" s="119"/>
      <c r="L16" s="119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BC16" s="152"/>
      <c r="BD16" s="152"/>
      <c r="BE16" s="152"/>
      <c r="BF16" s="152"/>
      <c r="BG16" s="152"/>
      <c r="BH16" s="152"/>
      <c r="BI16" s="152"/>
      <c r="BJ16" s="152"/>
      <c r="BK16" s="152"/>
      <c r="BL16" s="152"/>
      <c r="BM16" s="152"/>
      <c r="BN16" s="152"/>
      <c r="BO16" s="152"/>
      <c r="BP16" s="152"/>
      <c r="BQ16" s="152"/>
      <c r="BR16" s="152"/>
      <c r="BS16" s="152"/>
      <c r="BT16" s="152"/>
      <c r="BU16" s="152"/>
      <c r="BV16" s="152"/>
      <c r="BW16" s="152"/>
      <c r="BX16" s="152"/>
      <c r="BY16" s="152"/>
      <c r="BZ16" s="152"/>
      <c r="CA16" s="152"/>
      <c r="CB16" s="152"/>
      <c r="CC16" s="152"/>
      <c r="CD16" s="152"/>
      <c r="CE16" s="152"/>
      <c r="CF16" s="152"/>
      <c r="CG16" s="152"/>
      <c r="CH16" s="152"/>
      <c r="CI16" s="152"/>
      <c r="CJ16" s="152"/>
      <c r="CK16" s="152"/>
      <c r="CL16" s="152"/>
      <c r="CM16" s="152"/>
      <c r="CN16" s="152"/>
      <c r="CO16" s="152"/>
      <c r="CP16" s="152"/>
      <c r="CQ16" s="152"/>
      <c r="CR16" s="152"/>
      <c r="CS16" s="152"/>
      <c r="CT16" s="152"/>
      <c r="CU16" s="152"/>
      <c r="CV16" s="152"/>
      <c r="CW16" s="152"/>
      <c r="CX16" s="152"/>
      <c r="CY16" s="152"/>
      <c r="CZ16" s="152"/>
      <c r="DA16" s="152"/>
      <c r="DB16" s="152"/>
      <c r="DC16" s="152"/>
      <c r="DD16" s="152"/>
      <c r="DE16" s="152"/>
      <c r="DF16" s="152"/>
      <c r="DG16" s="152"/>
      <c r="DH16" s="152"/>
      <c r="DI16" s="152"/>
      <c r="DJ16" s="152"/>
      <c r="DK16" s="152"/>
      <c r="DL16" s="152"/>
      <c r="DM16" s="152"/>
      <c r="DN16" s="152"/>
      <c r="DO16" s="152"/>
      <c r="DP16" s="152"/>
      <c r="DQ16" s="152"/>
      <c r="DR16" s="152"/>
      <c r="DS16" s="152"/>
      <c r="DT16" s="152"/>
      <c r="DU16" s="152"/>
      <c r="DV16" s="152"/>
      <c r="DW16" s="152"/>
      <c r="DX16" s="152"/>
      <c r="DY16" s="152"/>
      <c r="DZ16" s="152"/>
      <c r="EA16" s="152"/>
      <c r="EB16" s="152"/>
      <c r="EC16" s="152"/>
      <c r="ED16" s="152"/>
      <c r="EE16" s="152"/>
      <c r="EF16" s="152"/>
      <c r="EG16" s="152"/>
      <c r="EH16" s="152"/>
      <c r="EI16" s="152"/>
      <c r="EJ16" s="152"/>
      <c r="EK16" s="152"/>
      <c r="EL16" s="152"/>
      <c r="EM16" s="152"/>
      <c r="EN16" s="152"/>
      <c r="EO16" s="152"/>
      <c r="EP16" s="152"/>
      <c r="EQ16" s="152"/>
      <c r="ER16" s="152"/>
      <c r="ES16" s="152"/>
      <c r="ET16" s="152"/>
      <c r="EU16" s="152"/>
      <c r="EV16" s="152"/>
      <c r="EW16" s="152"/>
      <c r="EX16" s="152"/>
      <c r="EY16" s="152"/>
      <c r="EZ16" s="152"/>
      <c r="FA16" s="152"/>
      <c r="FB16" s="152"/>
    </row>
    <row r="17" spans="2:158" x14ac:dyDescent="0.2">
      <c r="B17" s="99" t="s">
        <v>60</v>
      </c>
      <c r="C17" s="103">
        <v>1</v>
      </c>
      <c r="D17" s="103">
        <v>2</v>
      </c>
      <c r="E17" s="103">
        <v>3</v>
      </c>
      <c r="F17" s="103">
        <v>4</v>
      </c>
      <c r="G17" s="103">
        <v>5</v>
      </c>
      <c r="H17" s="103">
        <v>6</v>
      </c>
      <c r="I17" s="103">
        <v>7</v>
      </c>
      <c r="J17" s="103">
        <v>8</v>
      </c>
      <c r="K17" s="103">
        <v>9</v>
      </c>
      <c r="L17" s="103">
        <v>10</v>
      </c>
      <c r="M17" s="103">
        <v>11</v>
      </c>
      <c r="N17" s="103">
        <v>12</v>
      </c>
      <c r="O17" s="103">
        <v>13</v>
      </c>
      <c r="P17" s="103">
        <v>14</v>
      </c>
      <c r="Q17" s="103">
        <v>15</v>
      </c>
      <c r="R17" s="103">
        <v>16</v>
      </c>
      <c r="S17" s="103">
        <v>17</v>
      </c>
      <c r="T17" s="103">
        <v>18</v>
      </c>
      <c r="U17" s="103">
        <v>19</v>
      </c>
      <c r="V17" s="103">
        <v>20</v>
      </c>
      <c r="W17" s="103">
        <v>21</v>
      </c>
      <c r="X17" s="103">
        <v>22</v>
      </c>
      <c r="Y17" s="103">
        <v>23</v>
      </c>
      <c r="Z17" s="103">
        <v>24</v>
      </c>
      <c r="AA17" s="103">
        <v>25</v>
      </c>
      <c r="AB17" s="107"/>
      <c r="BC17" s="152"/>
      <c r="BD17" s="152"/>
      <c r="BE17" s="152"/>
      <c r="BF17" s="152"/>
      <c r="BG17" s="152"/>
      <c r="BH17" s="152"/>
      <c r="BI17" s="152"/>
      <c r="BJ17" s="152"/>
      <c r="BK17" s="152"/>
      <c r="BL17" s="152"/>
      <c r="BM17" s="152"/>
      <c r="BN17" s="152"/>
      <c r="BO17" s="152"/>
      <c r="BP17" s="152"/>
      <c r="BQ17" s="152"/>
      <c r="BR17" s="152"/>
      <c r="BS17" s="152"/>
      <c r="BT17" s="152"/>
      <c r="BU17" s="152"/>
      <c r="BV17" s="152"/>
      <c r="BW17" s="152"/>
      <c r="BX17" s="152"/>
      <c r="BY17" s="152"/>
      <c r="BZ17" s="152"/>
      <c r="CA17" s="152"/>
      <c r="CB17" s="152"/>
      <c r="CC17" s="152"/>
      <c r="CD17" s="152"/>
      <c r="CE17" s="152"/>
      <c r="CF17" s="152"/>
      <c r="CG17" s="152"/>
      <c r="CH17" s="152"/>
      <c r="CI17" s="152"/>
      <c r="CJ17" s="152"/>
      <c r="CK17" s="152"/>
      <c r="CL17" s="152"/>
      <c r="CM17" s="152"/>
      <c r="CN17" s="152"/>
      <c r="CO17" s="152"/>
      <c r="CP17" s="152"/>
      <c r="CQ17" s="152"/>
      <c r="CR17" s="152"/>
      <c r="CS17" s="152"/>
      <c r="CT17" s="152"/>
      <c r="CU17" s="152"/>
      <c r="CV17" s="152"/>
      <c r="CW17" s="152"/>
      <c r="CX17" s="152"/>
      <c r="CY17" s="152"/>
      <c r="CZ17" s="152"/>
      <c r="DA17" s="152"/>
      <c r="DB17" s="152"/>
      <c r="DC17" s="152"/>
      <c r="DD17" s="152"/>
      <c r="DE17" s="152"/>
      <c r="DF17" s="152"/>
      <c r="DG17" s="152"/>
      <c r="DH17" s="152"/>
      <c r="DI17" s="152"/>
      <c r="DJ17" s="152"/>
      <c r="DK17" s="152"/>
      <c r="DL17" s="152"/>
      <c r="DM17" s="152"/>
      <c r="DN17" s="152"/>
      <c r="DO17" s="152"/>
      <c r="DP17" s="152"/>
      <c r="DQ17" s="152"/>
      <c r="DR17" s="152"/>
      <c r="DS17" s="152"/>
      <c r="DT17" s="152"/>
      <c r="DU17" s="152"/>
      <c r="DV17" s="152"/>
      <c r="DW17" s="152"/>
      <c r="DX17" s="152"/>
      <c r="DY17" s="152"/>
      <c r="DZ17" s="152"/>
      <c r="EA17" s="152"/>
      <c r="EB17" s="152"/>
      <c r="EC17" s="152"/>
      <c r="ED17" s="152"/>
      <c r="EE17" s="152"/>
      <c r="EF17" s="152"/>
      <c r="EG17" s="152"/>
      <c r="EH17" s="152"/>
      <c r="EI17" s="152"/>
      <c r="EJ17" s="152"/>
      <c r="EK17" s="152"/>
      <c r="EL17" s="152"/>
      <c r="EM17" s="152"/>
      <c r="EN17" s="152"/>
      <c r="EO17" s="152"/>
      <c r="EP17" s="152"/>
      <c r="EQ17" s="152"/>
      <c r="ER17" s="152"/>
      <c r="ES17" s="152"/>
      <c r="ET17" s="152"/>
      <c r="EU17" s="152"/>
      <c r="EV17" s="152"/>
      <c r="EW17" s="152"/>
      <c r="EX17" s="152"/>
      <c r="EY17" s="152"/>
      <c r="EZ17" s="152"/>
      <c r="FA17" s="152"/>
      <c r="FB17" s="152"/>
    </row>
    <row r="18" spans="2:158" x14ac:dyDescent="0.2">
      <c r="B18" s="104" t="s">
        <v>47</v>
      </c>
      <c r="C18" s="18">
        <f>+IF(OR($A$3=FALSE,Xbar_R!C14=0), "", IF(OR((Xbar_R!C25-Xbar_R!C31)&lt;0, (Xbar_R!C31-Xbar_R!C27)&lt;0), 1, 0))</f>
        <v>0</v>
      </c>
      <c r="D18" s="18">
        <f>+IF(OR($A$3=FALSE,Xbar_R!D14=0), "", IF(OR((Xbar_R!D25-Xbar_R!D31)&lt;0, (Xbar_R!D31-Xbar_R!D27)&lt;0), 1, 0))</f>
        <v>0</v>
      </c>
      <c r="E18" s="18">
        <f>+IF(OR($A$3=FALSE,Xbar_R!E14=0), "", IF(OR((Xbar_R!E25-Xbar_R!E31)&lt;0, (Xbar_R!E31-Xbar_R!E27)&lt;0), 1, 0))</f>
        <v>0</v>
      </c>
      <c r="F18" s="18">
        <f>+IF(OR($A$3=FALSE,Xbar_R!F14=0), "", IF(OR((Xbar_R!F25-Xbar_R!F31)&lt;0, (Xbar_R!F31-Xbar_R!F27)&lt;0), 1, 0))</f>
        <v>0</v>
      </c>
      <c r="G18" s="18">
        <f>+IF(OR($A$3=FALSE,Xbar_R!G14=0), "", IF(OR((Xbar_R!G25-Xbar_R!G31)&lt;0, (Xbar_R!G31-Xbar_R!G27)&lt;0), 1, 0))</f>
        <v>0</v>
      </c>
      <c r="H18" s="18" t="str">
        <f>+IF(OR($A$3=FALSE,Xbar_R!H14=0), "", IF(OR((Xbar_R!H25-Xbar_R!H31)&lt;0, (Xbar_R!H31-Xbar_R!H27)&lt;0), 1, 0))</f>
        <v/>
      </c>
      <c r="I18" s="18">
        <f>+IF(OR($A$3=FALSE,Xbar_R!I14=0), "", IF(OR((Xbar_R!I25-Xbar_R!I31)&lt;0, (Xbar_R!I31-Xbar_R!I27)&lt;0), 1, 0))</f>
        <v>0</v>
      </c>
      <c r="J18" s="18">
        <f>+IF(OR($A$3=FALSE,Xbar_R!J14=0), "", IF(OR((Xbar_R!J25-Xbar_R!J31)&lt;0, (Xbar_R!J31-Xbar_R!J27)&lt;0), 1, 0))</f>
        <v>0</v>
      </c>
      <c r="K18" s="18">
        <f>+IF(OR($A$3=FALSE,Xbar_R!K14=0), "", IF(OR((Xbar_R!K25-Xbar_R!K31)&lt;0, (Xbar_R!K31-Xbar_R!K27)&lt;0), 1, 0))</f>
        <v>0</v>
      </c>
      <c r="L18" s="18">
        <f>+IF(OR($A$3=FALSE,Xbar_R!L14=0), "", IF(OR((Xbar_R!L25-Xbar_R!L31)&lt;0, (Xbar_R!L31-Xbar_R!L27)&lt;0), 1, 0))</f>
        <v>0</v>
      </c>
      <c r="M18" s="18">
        <f>+IF(OR($A$3=FALSE,Xbar_R!M14=0), "", IF(OR((Xbar_R!M25-Xbar_R!M31)&lt;0, (Xbar_R!M31-Xbar_R!M27)&lt;0), 1, 0))</f>
        <v>0</v>
      </c>
      <c r="N18" s="18">
        <f>+IF(OR($A$3=FALSE,Xbar_R!N14=0), "", IF(OR((Xbar_R!N25-Xbar_R!N31)&lt;0, (Xbar_R!N31-Xbar_R!N27)&lt;0), 1, 0))</f>
        <v>0</v>
      </c>
      <c r="O18" s="18">
        <f>+IF(OR($A$3=FALSE,Xbar_R!O14=0), "", IF(OR((Xbar_R!O25-Xbar_R!O31)&lt;0, (Xbar_R!O31-Xbar_R!O27)&lt;0), 1, 0))</f>
        <v>0</v>
      </c>
      <c r="P18" s="18">
        <f>+IF(OR($A$3=FALSE,Xbar_R!P14=0), "", IF(OR((Xbar_R!P25-Xbar_R!P31)&lt;0, (Xbar_R!P31-Xbar_R!P27)&lt;0), 1, 0))</f>
        <v>0</v>
      </c>
      <c r="Q18" s="18">
        <f>+IF(OR($A$3=FALSE,Xbar_R!Q14=0), "", IF(OR((Xbar_R!Q25-Xbar_R!Q31)&lt;0, (Xbar_R!Q31-Xbar_R!Q27)&lt;0), 1, 0))</f>
        <v>0</v>
      </c>
      <c r="R18" s="18">
        <f>+IF(OR($A$3=FALSE,Xbar_R!R14=0), "", IF(OR((Xbar_R!R25-Xbar_R!R31)&lt;0, (Xbar_R!R31-Xbar_R!R27)&lt;0), 1, 0))</f>
        <v>0</v>
      </c>
      <c r="S18" s="18">
        <f>+IF(OR($A$3=FALSE,Xbar_R!S14=0), "", IF(OR((Xbar_R!S25-Xbar_R!S31)&lt;0, (Xbar_R!S31-Xbar_R!S27)&lt;0), 1, 0))</f>
        <v>0</v>
      </c>
      <c r="T18" s="18">
        <f>+IF(OR($A$3=FALSE,Xbar_R!T14=0), "", IF(OR((Xbar_R!T25-Xbar_R!T31)&lt;0, (Xbar_R!T31-Xbar_R!T27)&lt;0), 1, 0))</f>
        <v>0</v>
      </c>
      <c r="U18" s="18">
        <f>+IF(OR($A$3=FALSE,Xbar_R!U14=0), "", IF(OR((Xbar_R!U25-Xbar_R!U31)&lt;0, (Xbar_R!U31-Xbar_R!U27)&lt;0), 1, 0))</f>
        <v>0</v>
      </c>
      <c r="V18" s="18">
        <f>+IF(OR($A$3=FALSE,Xbar_R!V14=0), "", IF(OR((Xbar_R!V25-Xbar_R!V31)&lt;0, (Xbar_R!V31-Xbar_R!V27)&lt;0), 1, 0))</f>
        <v>0</v>
      </c>
      <c r="W18" s="18">
        <f>+IF(OR($A$3=FALSE,Xbar_R!W14=0), "", IF(OR((Xbar_R!W25-Xbar_R!W31)&lt;0, (Xbar_R!W31-Xbar_R!W27)&lt;0), 1, 0))</f>
        <v>0</v>
      </c>
      <c r="X18" s="18">
        <f>+IF(OR($A$3=FALSE,Xbar_R!X14=0), "", IF(OR((Xbar_R!X25-Xbar_R!X31)&lt;0, (Xbar_R!X31-Xbar_R!X27)&lt;0), 1, 0))</f>
        <v>0</v>
      </c>
      <c r="Y18" s="18">
        <f>+IF(OR($A$3=FALSE,Xbar_R!Y14=0), "", IF(OR((Xbar_R!Y25-Xbar_R!Y31)&lt;0, (Xbar_R!Y31-Xbar_R!Y27)&lt;0), 1, 0))</f>
        <v>0</v>
      </c>
      <c r="Z18" s="18">
        <f>+IF(OR($A$3=FALSE,Xbar_R!Z14=0), "", IF(OR((Xbar_R!Z25-Xbar_R!Z31)&lt;0, (Xbar_R!Z31-Xbar_R!Z27)&lt;0), 1, 0))</f>
        <v>0</v>
      </c>
      <c r="AA18" s="18">
        <f>+IF(OR($A$3=FALSE,Xbar_R!AA14=0), "", IF(OR((Xbar_R!AA25-Xbar_R!AA31)&lt;0, (Xbar_R!AA31-Xbar_R!AA27)&lt;0), 1, 0))</f>
        <v>0</v>
      </c>
      <c r="AB18" s="108">
        <f>+SUM(C18:AA18)</f>
        <v>0</v>
      </c>
      <c r="BC18" s="152"/>
      <c r="BD18" s="152"/>
      <c r="BE18" s="152"/>
      <c r="BF18" s="152"/>
      <c r="BG18" s="152"/>
      <c r="BH18" s="152"/>
      <c r="BI18" s="152"/>
      <c r="BJ18" s="152"/>
      <c r="BK18" s="152"/>
      <c r="BL18" s="152"/>
      <c r="BM18" s="152"/>
      <c r="BN18" s="152"/>
      <c r="BO18" s="152"/>
      <c r="BP18" s="152"/>
      <c r="BQ18" s="152"/>
      <c r="BR18" s="152"/>
      <c r="BS18" s="152"/>
      <c r="BT18" s="152"/>
      <c r="BU18" s="152"/>
      <c r="BV18" s="152"/>
      <c r="BW18" s="152"/>
      <c r="BX18" s="152"/>
      <c r="BY18" s="152"/>
      <c r="BZ18" s="152"/>
      <c r="CA18" s="152"/>
      <c r="CB18" s="152"/>
      <c r="CC18" s="152"/>
      <c r="CD18" s="152"/>
      <c r="CE18" s="152"/>
      <c r="CF18" s="152"/>
      <c r="CG18" s="152"/>
      <c r="CH18" s="152"/>
      <c r="CI18" s="152"/>
      <c r="CJ18" s="152"/>
      <c r="CK18" s="152"/>
      <c r="CL18" s="152"/>
      <c r="CM18" s="152"/>
      <c r="CN18" s="152"/>
      <c r="CO18" s="152"/>
      <c r="CP18" s="152"/>
      <c r="CQ18" s="152"/>
      <c r="CR18" s="152"/>
      <c r="CS18" s="152"/>
      <c r="CT18" s="152"/>
      <c r="CU18" s="152"/>
      <c r="CV18" s="152"/>
      <c r="CW18" s="152"/>
      <c r="CX18" s="152"/>
      <c r="CY18" s="152"/>
      <c r="CZ18" s="152"/>
      <c r="DA18" s="152"/>
      <c r="DB18" s="152"/>
      <c r="DC18" s="152"/>
      <c r="DD18" s="152"/>
      <c r="DE18" s="152"/>
      <c r="DF18" s="152"/>
      <c r="DG18" s="152"/>
      <c r="DH18" s="152"/>
      <c r="DI18" s="152"/>
      <c r="DJ18" s="152"/>
      <c r="DK18" s="152"/>
      <c r="DL18" s="152"/>
      <c r="DM18" s="152"/>
      <c r="DN18" s="152"/>
      <c r="DO18" s="152"/>
      <c r="DP18" s="152"/>
      <c r="DQ18" s="152"/>
      <c r="DR18" s="152"/>
      <c r="DS18" s="152"/>
      <c r="DT18" s="152"/>
      <c r="DU18" s="152"/>
      <c r="DV18" s="152"/>
      <c r="DW18" s="152"/>
      <c r="DX18" s="152"/>
      <c r="DY18" s="152"/>
      <c r="DZ18" s="152"/>
      <c r="EA18" s="152"/>
      <c r="EB18" s="152"/>
      <c r="EC18" s="152"/>
      <c r="ED18" s="152"/>
    </row>
    <row r="19" spans="2:158" x14ac:dyDescent="0.2">
      <c r="B19" s="100" t="s">
        <v>48</v>
      </c>
      <c r="C19" s="105"/>
      <c r="D19" s="105"/>
      <c r="E19" s="105">
        <f t="array" ref="E19">IF(OR($A$4=FALSE,Xbar_R!E14=0), "", IF(MAX(SUM(1*(Xbar_R!C31:'Xbar_R'!E31&gt;C41:E41)),SUM(1*(Xbar_R!C31:'Xbar_R'!E31&lt;C46:E46)))&gt;=2, 1, 0))</f>
        <v>0</v>
      </c>
      <c r="F19" s="105">
        <f t="array" ref="F19">IF(OR($A$4=FALSE,Xbar_R!F14=0), "", IF(MAX(SUM(1*(Xbar_R!D31:'Xbar_R'!F31&gt;D41:F41)),SUM(1*(Xbar_R!D31:'Xbar_R'!F31&lt;D46:F46)))&gt;=2, 1, 0))</f>
        <v>0</v>
      </c>
      <c r="G19" s="105">
        <f t="array" ref="G19">IF(OR($A$4=FALSE,Xbar_R!G14=0), "", IF(MAX(SUM(1*(Xbar_R!E31:'Xbar_R'!G31&gt;E41:G41)),SUM(1*(Xbar_R!E31:'Xbar_R'!G31&lt;E46:G46)))&gt;=2, 1, 0))</f>
        <v>0</v>
      </c>
      <c r="H19" s="105" t="str">
        <f t="array" ref="H19">IF(OR($A$4=FALSE,Xbar_R!H14=0), "", IF(MAX(SUM(1*(Xbar_R!F31:'Xbar_R'!H31&gt;F41:H41)),SUM(1*(Xbar_R!F31:'Xbar_R'!H31&lt;F46:H46)))&gt;=2, 1, 0))</f>
        <v/>
      </c>
      <c r="I19" s="105">
        <f t="array" ref="I19">IF(OR($A$4=FALSE,Xbar_R!I14=0), "", IF(MAX(SUM(1*(Xbar_R!G31:'Xbar_R'!I31&gt;G41:I41)),SUM(1*(Xbar_R!G31:'Xbar_R'!I31&lt;G46:I46)))&gt;=2, 1, 0))</f>
        <v>0</v>
      </c>
      <c r="J19" s="105">
        <f t="array" ref="J19">IF(OR($A$4=FALSE,Xbar_R!J14=0), "", IF(MAX(SUM(1*(Xbar_R!H31:'Xbar_R'!J31&gt;H41:J41)),SUM(1*(Xbar_R!H31:'Xbar_R'!J31&lt;H46:J46)))&gt;=2, 1, 0))</f>
        <v>0</v>
      </c>
      <c r="K19" s="105">
        <f t="array" ref="K19">IF(OR($A$4=FALSE,Xbar_R!K14=0), "", IF(MAX(SUM(1*(Xbar_R!I31:'Xbar_R'!K31&gt;I41:K41)),SUM(1*(Xbar_R!I31:'Xbar_R'!K31&lt;I46:K46)))&gt;=2, 1, 0))</f>
        <v>0</v>
      </c>
      <c r="L19" s="105">
        <f t="array" ref="L19">IF(OR($A$4=FALSE,Xbar_R!L14=0), "", IF(MAX(SUM(1*(Xbar_R!J31:'Xbar_R'!L31&gt;J41:L41)),SUM(1*(Xbar_R!J31:'Xbar_R'!L31&lt;J46:L46)))&gt;=2, 1, 0))</f>
        <v>0</v>
      </c>
      <c r="M19" s="105">
        <f t="array" ref="M19">IF(OR($A$4=FALSE,Xbar_R!M14=0), "", IF(MAX(SUM(1*(Xbar_R!K31:'Xbar_R'!M31&gt;K41:M41)),SUM(1*(Xbar_R!K31:'Xbar_R'!M31&lt;K46:M46)))&gt;=2, 1, 0))</f>
        <v>0</v>
      </c>
      <c r="N19" s="105">
        <f t="array" ref="N19">IF(OR($A$4=FALSE,Xbar_R!N14=0), "", IF(MAX(SUM(1*(Xbar_R!L31:'Xbar_R'!N31&gt;L41:N41)),SUM(1*(Xbar_R!L31:'Xbar_R'!N31&lt;L46:N46)))&gt;=2, 1, 0))</f>
        <v>0</v>
      </c>
      <c r="O19" s="105">
        <f t="array" ref="O19">IF(OR($A$4=FALSE,Xbar_R!O14=0), "", IF(MAX(SUM(1*(Xbar_R!M31:'Xbar_R'!O31&gt;M41:O41)),SUM(1*(Xbar_R!M31:'Xbar_R'!O31&lt;M46:O46)))&gt;=2, 1, 0))</f>
        <v>0</v>
      </c>
      <c r="P19" s="105">
        <f t="array" ref="P19">IF(OR($A$4=FALSE,Xbar_R!P14=0), "", IF(MAX(SUM(1*(Xbar_R!N31:'Xbar_R'!P31&gt;N41:P41)),SUM(1*(Xbar_R!N31:'Xbar_R'!P31&lt;N46:P46)))&gt;=2, 1, 0))</f>
        <v>0</v>
      </c>
      <c r="Q19" s="105">
        <f t="array" ref="Q19">IF(OR($A$4=FALSE,Xbar_R!Q14=0), "", IF(MAX(SUM(1*(Xbar_R!O31:'Xbar_R'!Q31&gt;O41:Q41)),SUM(1*(Xbar_R!O31:'Xbar_R'!Q31&lt;O46:Q46)))&gt;=2, 1, 0))</f>
        <v>0</v>
      </c>
      <c r="R19" s="105">
        <f t="array" ref="R19">IF(OR($A$4=FALSE,Xbar_R!R14=0), "", IF(MAX(SUM(1*(Xbar_R!P31:'Xbar_R'!R31&gt;P41:R41)),SUM(1*(Xbar_R!P31:'Xbar_R'!R31&lt;P46:R46)))&gt;=2, 1, 0))</f>
        <v>0</v>
      </c>
      <c r="S19" s="105">
        <f t="array" ref="S19">IF(OR($A$4=FALSE,Xbar_R!S14=0), "", IF(MAX(SUM(1*(Xbar_R!Q31:'Xbar_R'!S31&gt;Q41:S41)),SUM(1*(Xbar_R!Q31:'Xbar_R'!S31&lt;Q46:S46)))&gt;=2, 1, 0))</f>
        <v>0</v>
      </c>
      <c r="T19" s="105">
        <f t="array" ref="T19">IF(OR($A$4=FALSE,Xbar_R!T14=0), "", IF(MAX(SUM(1*(Xbar_R!R31:'Xbar_R'!T31&gt;R41:T41)),SUM(1*(Xbar_R!R31:'Xbar_R'!T31&lt;R46:T46)))&gt;=2, 1, 0))</f>
        <v>0</v>
      </c>
      <c r="U19" s="105">
        <f t="array" ref="U19">IF(OR($A$4=FALSE,Xbar_R!U14=0), "", IF(MAX(SUM(1*(Xbar_R!S31:'Xbar_R'!U31&gt;S41:U41)),SUM(1*(Xbar_R!S31:'Xbar_R'!U31&lt;S46:U46)))&gt;=2, 1, 0))</f>
        <v>0</v>
      </c>
      <c r="V19" s="105">
        <f t="array" ref="V19">IF(OR($A$4=FALSE,Xbar_R!V14=0), "", IF(MAX(SUM(1*(Xbar_R!T31:'Xbar_R'!V31&gt;T41:V41)),SUM(1*(Xbar_R!T31:'Xbar_R'!V31&lt;T46:V46)))&gt;=2, 1, 0))</f>
        <v>0</v>
      </c>
      <c r="W19" s="105">
        <f t="array" ref="W19">IF(OR($A$4=FALSE,Xbar_R!W14=0), "", IF(MAX(SUM(1*(Xbar_R!U31:'Xbar_R'!W31&gt;U41:W41)),SUM(1*(Xbar_R!U31:'Xbar_R'!W31&lt;U46:W46)))&gt;=2, 1, 0))</f>
        <v>0</v>
      </c>
      <c r="X19" s="105">
        <f t="array" ref="X19">IF(OR($A$4=FALSE,Xbar_R!X14=0), "", IF(MAX(SUM(1*(Xbar_R!V31:'Xbar_R'!X31&gt;V41:X41)),SUM(1*(Xbar_R!V31:'Xbar_R'!X31&lt;V46:X46)))&gt;=2, 1, 0))</f>
        <v>0</v>
      </c>
      <c r="Y19" s="105">
        <f t="array" ref="Y19">IF(OR($A$4=FALSE,Xbar_R!Y14=0), "", IF(MAX(SUM(1*(Xbar_R!W31:'Xbar_R'!Y31&gt;W41:Y41)),SUM(1*(Xbar_R!W31:'Xbar_R'!Y31&lt;W46:Y46)))&gt;=2, 1, 0))</f>
        <v>0</v>
      </c>
      <c r="Z19" s="105">
        <f t="array" ref="Z19">IF(OR($A$4=FALSE,Xbar_R!Z14=0), "", IF(MAX(SUM(1*(Xbar_R!X31:'Xbar_R'!Z31&gt;X41:Z41)),SUM(1*(Xbar_R!X31:'Xbar_R'!Z31&lt;X46:Z46)))&gt;=2, 1, 0))</f>
        <v>0</v>
      </c>
      <c r="AA19" s="105">
        <f t="array" ref="AA19">IF(OR($A$4=FALSE,Xbar_R!AA14=0), "", IF(MAX(SUM(1*(Xbar_R!Y31:'Xbar_R'!AA31&gt;Y41:AA41)),SUM(1*(Xbar_R!Y31:'Xbar_R'!AA31&lt;Y46:AA46)))&gt;=2, 1, 0))</f>
        <v>0</v>
      </c>
      <c r="AB19" s="107">
        <f>+SUM(C19:AA19)</f>
        <v>0</v>
      </c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  <c r="BF19" s="152"/>
      <c r="BG19" s="152"/>
      <c r="BH19" s="152"/>
      <c r="BI19" s="152"/>
      <c r="BJ19" s="152"/>
      <c r="BK19" s="152"/>
      <c r="BL19" s="152"/>
      <c r="BM19" s="152"/>
      <c r="BN19" s="152"/>
      <c r="BO19" s="152"/>
      <c r="BP19" s="152"/>
      <c r="BQ19" s="152"/>
      <c r="BR19" s="152"/>
      <c r="BS19" s="152"/>
      <c r="BT19" s="152"/>
      <c r="BU19" s="152"/>
      <c r="BV19" s="152"/>
      <c r="BW19" s="152"/>
      <c r="BX19" s="152"/>
      <c r="BY19" s="152"/>
      <c r="BZ19" s="152"/>
      <c r="CA19" s="152"/>
      <c r="CB19" s="152"/>
      <c r="CC19" s="152"/>
      <c r="CD19" s="152"/>
      <c r="CE19" s="152"/>
      <c r="CF19" s="152"/>
      <c r="CG19" s="152"/>
      <c r="CH19" s="152"/>
      <c r="CI19" s="152"/>
      <c r="CJ19" s="152"/>
      <c r="CK19" s="152"/>
      <c r="CL19" s="152"/>
      <c r="CM19" s="152"/>
      <c r="CN19" s="152"/>
      <c r="CO19" s="152"/>
      <c r="CP19" s="152"/>
      <c r="CQ19" s="152"/>
      <c r="CR19" s="152"/>
      <c r="CS19" s="152"/>
      <c r="CT19" s="152"/>
      <c r="CU19" s="152"/>
      <c r="CV19" s="152"/>
      <c r="CW19" s="152"/>
      <c r="CX19" s="152"/>
      <c r="CY19" s="152"/>
      <c r="CZ19" s="152"/>
      <c r="DA19" s="152"/>
      <c r="DB19" s="152"/>
      <c r="DC19" s="152"/>
      <c r="DD19" s="152"/>
      <c r="DE19" s="152"/>
      <c r="DF19" s="152"/>
      <c r="DG19" s="152"/>
      <c r="DH19" s="152"/>
      <c r="DI19" s="152"/>
      <c r="DJ19" s="152"/>
      <c r="DK19" s="152"/>
      <c r="DL19" s="152"/>
      <c r="DM19" s="152"/>
      <c r="DN19" s="152"/>
      <c r="DO19" s="152"/>
      <c r="DP19" s="152"/>
      <c r="DQ19" s="152"/>
      <c r="DR19" s="152"/>
      <c r="DS19" s="152"/>
      <c r="DT19" s="152"/>
      <c r="DU19" s="152"/>
      <c r="DV19" s="152"/>
      <c r="DW19" s="152"/>
      <c r="DX19" s="152"/>
      <c r="DY19" s="152"/>
      <c r="DZ19" s="152"/>
      <c r="EA19" s="152"/>
      <c r="EB19" s="152"/>
      <c r="EC19" s="152"/>
      <c r="ED19" s="152"/>
    </row>
    <row r="20" spans="2:158" x14ac:dyDescent="0.2">
      <c r="B20" s="104" t="s">
        <v>49</v>
      </c>
      <c r="C20" s="18"/>
      <c r="D20" s="18"/>
      <c r="E20" s="18"/>
      <c r="F20" s="18"/>
      <c r="G20" s="18">
        <f t="array" ref="G20">IF(OR($A$5=FALSE,Xbar_R!G14=0), "", IF(MAX(SUM(1*(Xbar_R!C31:'Xbar_R'!G31&gt;C43:G43)), SUM(1*(Xbar_R!C31:'Xbar_R'!G31&lt;C48:G48)))&gt;=4, 1, 0))</f>
        <v>0</v>
      </c>
      <c r="H20" s="18" t="str">
        <f t="array" ref="H20">IF(OR($A$5=FALSE,Xbar_R!H14=0), "", IF(MAX(SUM(1*(Xbar_R!D31:'Xbar_R'!H31&gt;D43:H43)), SUM(1*(Xbar_R!D31:'Xbar_R'!H31&lt;D48:H48)))&gt;=4, 1, 0))</f>
        <v/>
      </c>
      <c r="I20" s="18">
        <f t="array" ref="I20">IF(OR($A$5=FALSE,Xbar_R!I14=0), "", IF(MAX(SUM(1*(Xbar_R!E31:'Xbar_R'!I31&gt;E43:I43)), SUM(1*(Xbar_R!E31:'Xbar_R'!I31&lt;E48:I48)))&gt;=4, 1, 0))</f>
        <v>0</v>
      </c>
      <c r="J20" s="18">
        <f t="array" ref="J20">IF(OR($A$5=FALSE,Xbar_R!J14=0), "", IF(MAX(SUM(1*(Xbar_R!F31:'Xbar_R'!J31&gt;F43:J43)), SUM(1*(Xbar_R!F31:'Xbar_R'!J31&lt;F48:J48)))&gt;=4, 1, 0))</f>
        <v>0</v>
      </c>
      <c r="K20" s="18">
        <f t="array" ref="K20">IF(OR($A$5=FALSE,Xbar_R!K14=0), "", IF(MAX(SUM(1*(Xbar_R!G31:'Xbar_R'!K31&gt;G43:K43)), SUM(1*(Xbar_R!G31:'Xbar_R'!K31&lt;G48:K48)))&gt;=4, 1, 0))</f>
        <v>0</v>
      </c>
      <c r="L20" s="18">
        <f t="array" ref="L20">IF(OR($A$5=FALSE,Xbar_R!L14=0), "", IF(MAX(SUM(1*(Xbar_R!H31:'Xbar_R'!L31&gt;H43:L43)), SUM(1*(Xbar_R!H31:'Xbar_R'!L31&lt;H48:L48)))&gt;=4, 1, 0))</f>
        <v>0</v>
      </c>
      <c r="M20" s="18">
        <f t="array" ref="M20">IF(OR($A$5=FALSE,Xbar_R!M14=0), "", IF(MAX(SUM(1*(Xbar_R!I31:'Xbar_R'!M31&gt;I43:M43)), SUM(1*(Xbar_R!I31:'Xbar_R'!M31&lt;I48:M48)))&gt;=4, 1, 0))</f>
        <v>0</v>
      </c>
      <c r="N20" s="18">
        <f t="array" ref="N20">IF(OR($A$5=FALSE,Xbar_R!N14=0), "", IF(MAX(SUM(1*(Xbar_R!J31:'Xbar_R'!N31&gt;J43:N43)), SUM(1*(Xbar_R!J31:'Xbar_R'!N31&lt;J48:N48)))&gt;=4, 1, 0))</f>
        <v>0</v>
      </c>
      <c r="O20" s="18">
        <f t="array" ref="O20">IF(OR($A$5=FALSE,Xbar_R!O14=0), "", IF(MAX(SUM(1*(Xbar_R!K31:'Xbar_R'!O31&gt;K43:O43)), SUM(1*(Xbar_R!K31:'Xbar_R'!O31&lt;K48:O48)))&gt;=4, 1, 0))</f>
        <v>0</v>
      </c>
      <c r="P20" s="18">
        <f t="array" ref="P20">IF(OR($A$5=FALSE,Xbar_R!P14=0), "", IF(MAX(SUM(1*(Xbar_R!L31:'Xbar_R'!P31&gt;L43:P43)), SUM(1*(Xbar_R!L31:'Xbar_R'!P31&lt;L48:P48)))&gt;=4, 1, 0))</f>
        <v>0</v>
      </c>
      <c r="Q20" s="18">
        <f t="array" ref="Q20">IF(OR($A$5=FALSE,Xbar_R!Q14=0), "", IF(MAX(SUM(1*(Xbar_R!M31:'Xbar_R'!Q31&gt;M43:Q43)), SUM(1*(Xbar_R!M31:'Xbar_R'!Q31&lt;M48:Q48)))&gt;=4, 1, 0))</f>
        <v>0</v>
      </c>
      <c r="R20" s="18">
        <f t="array" ref="R20">IF(OR($A$5=FALSE,Xbar_R!R14=0), "", IF(MAX(SUM(1*(Xbar_R!N31:'Xbar_R'!R31&gt;N43:R43)), SUM(1*(Xbar_R!N31:'Xbar_R'!R31&lt;N48:R48)))&gt;=4, 1, 0))</f>
        <v>0</v>
      </c>
      <c r="S20" s="18">
        <f t="array" ref="S20">IF(OR($A$5=FALSE,Xbar_R!S14=0), "", IF(MAX(SUM(1*(Xbar_R!O31:'Xbar_R'!S31&gt;O43:S43)), SUM(1*(Xbar_R!O31:'Xbar_R'!S31&lt;O48:S48)))&gt;=4, 1, 0))</f>
        <v>0</v>
      </c>
      <c r="T20" s="18">
        <f t="array" ref="T20">IF(OR($A$5=FALSE,Xbar_R!T14=0), "", IF(MAX(SUM(1*(Xbar_R!P31:'Xbar_R'!T31&gt;P43:T43)), SUM(1*(Xbar_R!P31:'Xbar_R'!T31&lt;P48:T48)))&gt;=4, 1, 0))</f>
        <v>0</v>
      </c>
      <c r="U20" s="18">
        <f t="array" ref="U20">IF(OR($A$5=FALSE,Xbar_R!U14=0), "", IF(MAX(SUM(1*(Xbar_R!Q31:'Xbar_R'!U31&gt;Q43:U43)), SUM(1*(Xbar_R!Q31:'Xbar_R'!U31&lt;Q48:U48)))&gt;=4, 1, 0))</f>
        <v>0</v>
      </c>
      <c r="V20" s="18">
        <f t="array" ref="V20">IF(OR($A$5=FALSE,Xbar_R!V14=0), "", IF(MAX(SUM(1*(Xbar_R!R31:'Xbar_R'!V31&gt;R43:V43)), SUM(1*(Xbar_R!R31:'Xbar_R'!V31&lt;R48:V48)))&gt;=4, 1, 0))</f>
        <v>0</v>
      </c>
      <c r="W20" s="18">
        <f t="array" ref="W20">IF(OR($A$5=FALSE,Xbar_R!W14=0), "", IF(MAX(SUM(1*(Xbar_R!S31:'Xbar_R'!W31&gt;S43:W43)), SUM(1*(Xbar_R!S31:'Xbar_R'!W31&lt;S48:W48)))&gt;=4, 1, 0))</f>
        <v>0</v>
      </c>
      <c r="X20" s="18">
        <f t="array" ref="X20">IF(OR($A$5=FALSE,Xbar_R!X14=0), "", IF(MAX(SUM(1*(Xbar_R!T31:'Xbar_R'!X31&gt;T43:X43)), SUM(1*(Xbar_R!T31:'Xbar_R'!X31&lt;T48:X48)))&gt;=4, 1, 0))</f>
        <v>0</v>
      </c>
      <c r="Y20" s="18">
        <f t="array" ref="Y20">IF(OR($A$5=FALSE,Xbar_R!Y14=0), "", IF(MAX(SUM(1*(Xbar_R!U31:'Xbar_R'!Y31&gt;U43:Y43)), SUM(1*(Xbar_R!U31:'Xbar_R'!Y31&lt;U48:Y48)))&gt;=4, 1, 0))</f>
        <v>0</v>
      </c>
      <c r="Z20" s="18">
        <f t="array" ref="Z20">IF(OR($A$5=FALSE,Xbar_R!Z14=0), "", IF(MAX(SUM(1*(Xbar_R!V31:'Xbar_R'!Z31&gt;V43:Z43)), SUM(1*(Xbar_R!V31:'Xbar_R'!Z31&lt;V48:Z48)))&gt;=4, 1, 0))</f>
        <v>0</v>
      </c>
      <c r="AA20" s="18">
        <f t="array" ref="AA20">IF(OR($A$5=FALSE,Xbar_R!AA14=0), "", IF(MAX(SUM(1*(Xbar_R!W31:'Xbar_R'!AA31&gt;W43:AA43)), SUM(1*(Xbar_R!W31:'Xbar_R'!AA31&lt;W48:AA48)))&gt;=4, 1, 0))</f>
        <v>0</v>
      </c>
      <c r="AB20" s="108">
        <f>+SUM(C20:AA20)</f>
        <v>0</v>
      </c>
    </row>
    <row r="21" spans="2:158" x14ac:dyDescent="0.2">
      <c r="B21" s="100" t="s">
        <v>50</v>
      </c>
      <c r="C21" s="105"/>
      <c r="D21" s="105"/>
      <c r="E21" s="105"/>
      <c r="F21" s="105"/>
      <c r="G21" s="105"/>
      <c r="H21" s="105"/>
      <c r="I21" s="105">
        <f t="array" ref="I21">IF(OR($A$6=FALSE,Xbar_R!I14=0),"",IF(MAX(SUM(IF(Xbar_R!C31:'Xbar_R'!I31&gt;Xbar_R!C29:'Xbar_R'!I29,1,0)),SUM(IF(Xbar_R!C31:'Xbar_R'!I31&lt;Xbar_R!C29:'Xbar_R'!I29,1,0)))&gt;=7,1,0))</f>
        <v>0</v>
      </c>
      <c r="J21" s="105">
        <f t="array" ref="J21">IF(OR($A$6=FALSE,Xbar_R!J14=0),"",IF(MAX(SUM(IF(Xbar_R!D31:'Xbar_R'!J31&gt;Xbar_R!D29:'Xbar_R'!J29,1,0)),SUM(IF(Xbar_R!D31:'Xbar_R'!J31&lt;Xbar_R!D29:'Xbar_R'!J29,1,0)))&gt;=7,1,0))</f>
        <v>0</v>
      </c>
      <c r="K21" s="105">
        <f t="array" ref="K21">IF(OR($A$6=FALSE,Xbar_R!K14=0),"",IF(MAX(SUM(IF(Xbar_R!E31:'Xbar_R'!K31&gt;Xbar_R!E29:'Xbar_R'!K29,1,0)),SUM(IF(Xbar_R!E31:'Xbar_R'!K31&lt;Xbar_R!E29:'Xbar_R'!K29,1,0)))&gt;=7,1,0))</f>
        <v>0</v>
      </c>
      <c r="L21" s="105">
        <f t="array" ref="L21">IF(OR($A$6=FALSE,Xbar_R!L14=0),"",IF(MAX(SUM(IF(Xbar_R!F31:'Xbar_R'!L31&gt;Xbar_R!F29:'Xbar_R'!L29,1,0)),SUM(IF(Xbar_R!F31:'Xbar_R'!L31&lt;Xbar_R!F29:'Xbar_R'!L29,1,0)))&gt;=7,1,0))</f>
        <v>0</v>
      </c>
      <c r="M21" s="105">
        <f t="array" ref="M21">IF(OR($A$6=FALSE,Xbar_R!M14=0),"",IF(MAX(SUM(IF(Xbar_R!G31:'Xbar_R'!M31&gt;Xbar_R!G29:'Xbar_R'!M29,1,0)),SUM(IF(Xbar_R!G31:'Xbar_R'!M31&lt;Xbar_R!G29:'Xbar_R'!M29,1,0)))&gt;=7,1,0))</f>
        <v>0</v>
      </c>
      <c r="N21" s="105">
        <f t="array" ref="N21">IF(OR($A$6=FALSE,Xbar_R!N14=0),"",IF(MAX(SUM(IF(Xbar_R!H31:'Xbar_R'!N31&gt;Xbar_R!H29:'Xbar_R'!N29,1,0)),SUM(IF(Xbar_R!H31:'Xbar_R'!N31&lt;Xbar_R!H29:'Xbar_R'!N29,1,0)))&gt;=7,1,0))</f>
        <v>0</v>
      </c>
      <c r="O21" s="105">
        <f t="array" ref="O21">IF(OR($A$6=FALSE,Xbar_R!O14=0),"",IF(MAX(SUM(IF(Xbar_R!I31:'Xbar_R'!O31&gt;Xbar_R!I29:'Xbar_R'!O29,1,0)),SUM(IF(Xbar_R!I31:'Xbar_R'!O31&lt;Xbar_R!I29:'Xbar_R'!O29,1,0)))&gt;=7,1,0))</f>
        <v>0</v>
      </c>
      <c r="P21" s="105">
        <f t="array" ref="P21">IF(OR($A$6=FALSE,Xbar_R!P14=0),"",IF(MAX(SUM(IF(Xbar_R!J31:'Xbar_R'!P31&gt;Xbar_R!J29:'Xbar_R'!P29,1,0)),SUM(IF(Xbar_R!J31:'Xbar_R'!P31&lt;Xbar_R!J29:'Xbar_R'!P29,1,0)))&gt;=7,1,0))</f>
        <v>0</v>
      </c>
      <c r="Q21" s="105">
        <f t="array" ref="Q21">IF(OR($A$6=FALSE,Xbar_R!Q14=0),"",IF(MAX(SUM(IF(Xbar_R!K31:'Xbar_R'!Q31&gt;Xbar_R!K29:'Xbar_R'!Q29,1,0)),SUM(IF(Xbar_R!K31:'Xbar_R'!Q31&lt;Xbar_R!K29:'Xbar_R'!Q29,1,0)))&gt;=7,1,0))</f>
        <v>0</v>
      </c>
      <c r="R21" s="105">
        <f t="array" ref="R21">IF(OR($A$6=FALSE,Xbar_R!R14=0),"",IF(MAX(SUM(IF(Xbar_R!L31:'Xbar_R'!R31&gt;Xbar_R!L29:'Xbar_R'!R29,1,0)),SUM(IF(Xbar_R!L31:'Xbar_R'!R31&lt;Xbar_R!L29:'Xbar_R'!R29,1,0)))&gt;=7,1,0))</f>
        <v>0</v>
      </c>
      <c r="S21" s="105">
        <f t="array" ref="S21">IF(OR($A$6=FALSE,Xbar_R!S14=0),"",IF(MAX(SUM(IF(Xbar_R!M31:'Xbar_R'!S31&gt;Xbar_R!M29:'Xbar_R'!S29,1,0)),SUM(IF(Xbar_R!M31:'Xbar_R'!S31&lt;Xbar_R!M29:'Xbar_R'!S29,1,0)))&gt;=7,1,0))</f>
        <v>0</v>
      </c>
      <c r="T21" s="105">
        <f t="array" ref="T21">IF(OR($A$6=FALSE,Xbar_R!T14=0),"",IF(MAX(SUM(IF(Xbar_R!N31:'Xbar_R'!T31&gt;Xbar_R!N29:'Xbar_R'!T29,1,0)),SUM(IF(Xbar_R!N31:'Xbar_R'!T31&lt;Xbar_R!N29:'Xbar_R'!T29,1,0)))&gt;=7,1,0))</f>
        <v>0</v>
      </c>
      <c r="U21" s="105">
        <f t="array" ref="U21">IF(OR($A$6=FALSE,Xbar_R!U14=0),"",IF(MAX(SUM(IF(Xbar_R!O31:'Xbar_R'!U31&gt;Xbar_R!O29:'Xbar_R'!U29,1,0)),SUM(IF(Xbar_R!O31:'Xbar_R'!U31&lt;Xbar_R!O29:'Xbar_R'!U29,1,0)))&gt;=7,1,0))</f>
        <v>0</v>
      </c>
      <c r="V21" s="105">
        <f t="array" ref="V21">IF(OR($A$6=FALSE,Xbar_R!V14=0),"",IF(MAX(SUM(IF(Xbar_R!P31:'Xbar_R'!V31&gt;Xbar_R!P29:'Xbar_R'!V29,1,0)),SUM(IF(Xbar_R!P31:'Xbar_R'!V31&lt;Xbar_R!P29:'Xbar_R'!V29,1,0)))&gt;=7,1,0))</f>
        <v>0</v>
      </c>
      <c r="W21" s="105">
        <f t="array" ref="W21">IF(OR($A$6=FALSE,Xbar_R!W14=0),"",IF(MAX(SUM(IF(Xbar_R!Q31:'Xbar_R'!W31&gt;Xbar_R!Q29:'Xbar_R'!W29,1,0)),SUM(IF(Xbar_R!Q31:'Xbar_R'!W31&lt;Xbar_R!Q29:'Xbar_R'!W29,1,0)))&gt;=7,1,0))</f>
        <v>0</v>
      </c>
      <c r="X21" s="105">
        <f t="array" ref="X21">IF(OR($A$6=FALSE,Xbar_R!X14=0),"",IF(MAX(SUM(IF(Xbar_R!R31:'Xbar_R'!X31&gt;Xbar_R!R29:'Xbar_R'!X29,1,0)),SUM(IF(Xbar_R!R31:'Xbar_R'!X31&lt;Xbar_R!R29:'Xbar_R'!X29,1,0)))&gt;=7,1,0))</f>
        <v>0</v>
      </c>
      <c r="Y21" s="105">
        <f t="array" ref="Y21">IF(OR($A$6=FALSE,Xbar_R!Y14=0),"",IF(MAX(SUM(IF(Xbar_R!S31:'Xbar_R'!Y31&gt;Xbar_R!S29:'Xbar_R'!Y29,1,0)),SUM(IF(Xbar_R!S31:'Xbar_R'!Y31&lt;Xbar_R!S29:'Xbar_R'!Y29,1,0)))&gt;=7,1,0))</f>
        <v>0</v>
      </c>
      <c r="Z21" s="105">
        <f t="array" ref="Z21">IF(OR($A$6=FALSE,Xbar_R!Z14=0),"",IF(MAX(SUM(IF(Xbar_R!T31:'Xbar_R'!Z31&gt;Xbar_R!T29:'Xbar_R'!Z29,1,0)),SUM(IF(Xbar_R!T31:'Xbar_R'!Z31&lt;Xbar_R!T29:'Xbar_R'!Z29,1,0)))&gt;=7,1,0))</f>
        <v>0</v>
      </c>
      <c r="AA21" s="105">
        <f t="array" ref="AA21">IF(OR($A$6=FALSE,Xbar_R!AA14=0),"",IF(MAX(SUM(IF(Xbar_R!U31:'Xbar_R'!AA31&gt;Xbar_R!U29:'Xbar_R'!AA29,1,0)),SUM(IF(Xbar_R!U31:'Xbar_R'!AA31&lt;Xbar_R!U29:'Xbar_R'!AA29,1,0)))&gt;=7,1,0))</f>
        <v>0</v>
      </c>
      <c r="AB21" s="107">
        <f>+SUM(C21:AA21)</f>
        <v>0</v>
      </c>
    </row>
    <row r="22" spans="2:158" ht="13.5" thickBot="1" x14ac:dyDescent="0.25">
      <c r="B22" s="110" t="s">
        <v>51</v>
      </c>
      <c r="C22" s="106"/>
      <c r="D22" s="106"/>
      <c r="E22" s="106"/>
      <c r="F22" s="106"/>
      <c r="G22" s="106">
        <f t="array" ref="G22">IF(OR($A$7=FALSE,Xbar_R!G14=0), "", MAX(SUM(IF(AND(Xbar_R!C31:'Xbar_R'!F31&gt;Xbar_R!D31:'Xbar_R'!G31),1, 0)), SUM(IF(AND(Xbar_R!C31:'Xbar_R'!F31&lt;Xbar_R!D31:'Xbar_R'!G31), 1, 0))))</f>
        <v>0</v>
      </c>
      <c r="H22" s="106" t="str">
        <f t="array" ref="H22">IF(OR($A$7=FALSE,Xbar_R!H14=0), "", MAX(SUM(IF(AND(Xbar_R!D31:'Xbar_R'!G31&gt;Xbar_R!E31:'Xbar_R'!H31),1, 0)), SUM(IF(AND(Xbar_R!D31:'Xbar_R'!G31&lt;Xbar_R!E31:'Xbar_R'!H31), 1, 0))))</f>
        <v/>
      </c>
      <c r="I22" s="106">
        <f t="array" ref="I22">IF(OR($A$7=FALSE,Xbar_R!I14=0), "", MAX(SUM(IF(AND(Xbar_R!E31:'Xbar_R'!H31&gt;Xbar_R!F31:'Xbar_R'!I31),1, 0)), SUM(IF(AND(Xbar_R!E31:'Xbar_R'!H31&lt;Xbar_R!F31:'Xbar_R'!I31), 1, 0))))</f>
        <v>0</v>
      </c>
      <c r="J22" s="106">
        <f t="array" ref="J22">IF(OR($A$7=FALSE,Xbar_R!J14=0), "", MAX(SUM(IF(AND(Xbar_R!F31:'Xbar_R'!I31&gt;Xbar_R!G31:'Xbar_R'!J31),1, 0)), SUM(IF(AND(Xbar_R!F31:'Xbar_R'!I31&lt;Xbar_R!G31:'Xbar_R'!J31), 1, 0))))</f>
        <v>0</v>
      </c>
      <c r="K22" s="106">
        <f t="array" ref="K22">IF(OR($A$7=FALSE,Xbar_R!K14=0), "", MAX(SUM(IF(AND(Xbar_R!G31:'Xbar_R'!J31&gt;Xbar_R!H31:'Xbar_R'!K31),1, 0)), SUM(IF(AND(Xbar_R!G31:'Xbar_R'!J31&lt;Xbar_R!H31:'Xbar_R'!K31), 1, 0))))</f>
        <v>0</v>
      </c>
      <c r="L22" s="106">
        <f t="array" ref="L22">IF(OR($A$7=FALSE,Xbar_R!L14=0), "", MAX(SUM(IF(AND(Xbar_R!H31:'Xbar_R'!K31&gt;Xbar_R!I31:'Xbar_R'!L31),1, 0)), SUM(IF(AND(Xbar_R!H31:'Xbar_R'!K31&lt;Xbar_R!I31:'Xbar_R'!L31), 1, 0))))</f>
        <v>0</v>
      </c>
      <c r="M22" s="106">
        <f t="array" ref="M22">IF(OR($A$7=FALSE,Xbar_R!M14=0), "", MAX(SUM(IF(AND(Xbar_R!I31:'Xbar_R'!L31&gt;Xbar_R!J31:'Xbar_R'!M31),1, 0)), SUM(IF(AND(Xbar_R!I31:'Xbar_R'!L31&lt;Xbar_R!J31:'Xbar_R'!M31), 1, 0))))</f>
        <v>0</v>
      </c>
      <c r="N22" s="106">
        <f t="array" ref="N22">IF(OR($A$7=FALSE,Xbar_R!N14=0), "", MAX(SUM(IF(AND(Xbar_R!J31:'Xbar_R'!M31&gt;Xbar_R!K31:'Xbar_R'!N31),1, 0)), SUM(IF(AND(Xbar_R!J31:'Xbar_R'!M31&lt;Xbar_R!K31:'Xbar_R'!N31), 1, 0))))</f>
        <v>0</v>
      </c>
      <c r="O22" s="106">
        <f t="array" ref="O22">IF(OR($A$7=FALSE,Xbar_R!O14=0), "", MAX(SUM(IF(AND(Xbar_R!K31:'Xbar_R'!N31&gt;Xbar_R!L31:'Xbar_R'!O31),1, 0)), SUM(IF(AND(Xbar_R!K31:'Xbar_R'!N31&lt;Xbar_R!L31:'Xbar_R'!O31), 1, 0))))</f>
        <v>0</v>
      </c>
      <c r="P22" s="106">
        <f t="array" ref="P22">IF(OR($A$7=FALSE,Xbar_R!P14=0), "", MAX(SUM(IF(AND(Xbar_R!L31:'Xbar_R'!O31&gt;Xbar_R!M31:'Xbar_R'!P31),1, 0)), SUM(IF(AND(Xbar_R!L31:'Xbar_R'!O31&lt;Xbar_R!M31:'Xbar_R'!P31), 1, 0))))</f>
        <v>0</v>
      </c>
      <c r="Q22" s="106">
        <f t="array" ref="Q22">IF(OR($A$7=FALSE,Xbar_R!Q14=0), "", MAX(SUM(IF(AND(Xbar_R!M31:'Xbar_R'!P31&gt;Xbar_R!N31:'Xbar_R'!Q31),1, 0)), SUM(IF(AND(Xbar_R!M31:'Xbar_R'!P31&lt;Xbar_R!N31:'Xbar_R'!Q31), 1, 0))))</f>
        <v>0</v>
      </c>
      <c r="R22" s="106">
        <f t="array" ref="R22">IF(OR($A$7=FALSE,Xbar_R!R14=0), "", MAX(SUM(IF(AND(Xbar_R!N31:'Xbar_R'!Q31&gt;Xbar_R!O31:'Xbar_R'!R31),1, 0)), SUM(IF(AND(Xbar_R!N31:'Xbar_R'!Q31&lt;Xbar_R!O31:'Xbar_R'!R31), 1, 0))))</f>
        <v>0</v>
      </c>
      <c r="S22" s="106">
        <f t="array" ref="S22">IF(OR($A$7=FALSE,Xbar_R!S14=0), "", MAX(SUM(IF(AND(Xbar_R!O31:'Xbar_R'!R31&gt;Xbar_R!P31:'Xbar_R'!S31),1, 0)), SUM(IF(AND(Xbar_R!O31:'Xbar_R'!R31&lt;Xbar_R!P31:'Xbar_R'!S31), 1, 0))))</f>
        <v>0</v>
      </c>
      <c r="T22" s="106">
        <f t="array" ref="T22">IF(OR($A$7=FALSE,Xbar_R!T14=0), "", MAX(SUM(IF(AND(Xbar_R!P31:'Xbar_R'!S31&gt;Xbar_R!Q31:'Xbar_R'!T31),1, 0)), SUM(IF(AND(Xbar_R!P31:'Xbar_R'!S31&lt;Xbar_R!Q31:'Xbar_R'!T31), 1, 0))))</f>
        <v>0</v>
      </c>
      <c r="U22" s="106">
        <f t="array" ref="U22">IF(OR($A$7=FALSE,Xbar_R!U14=0), "", MAX(SUM(IF(AND(Xbar_R!Q31:'Xbar_R'!T31&gt;Xbar_R!R31:'Xbar_R'!U31),1, 0)), SUM(IF(AND(Xbar_R!Q31:'Xbar_R'!T31&lt;Xbar_R!R31:'Xbar_R'!U31), 1, 0))))</f>
        <v>0</v>
      </c>
      <c r="V22" s="106">
        <f t="array" ref="V22">IF(OR($A$7=FALSE,Xbar_R!V14=0), "", MAX(SUM(IF(AND(Xbar_R!R31:'Xbar_R'!U31&gt;Xbar_R!S31:'Xbar_R'!V31),1, 0)), SUM(IF(AND(Xbar_R!R31:'Xbar_R'!U31&lt;Xbar_R!S31:'Xbar_R'!V31), 1, 0))))</f>
        <v>0</v>
      </c>
      <c r="W22" s="106">
        <f t="array" ref="W22">IF(OR($A$7=FALSE,Xbar_R!W14=0), "", MAX(SUM(IF(AND(Xbar_R!S31:'Xbar_R'!V31&gt;Xbar_R!T31:'Xbar_R'!W31),1, 0)), SUM(IF(AND(Xbar_R!S31:'Xbar_R'!V31&lt;Xbar_R!T31:'Xbar_R'!W31), 1, 0))))</f>
        <v>0</v>
      </c>
      <c r="X22" s="106">
        <f t="array" ref="X22">IF(OR($A$7=FALSE,Xbar_R!X14=0), "", MAX(SUM(IF(AND(Xbar_R!T31:'Xbar_R'!W31&gt;Xbar_R!U31:'Xbar_R'!X31),1, 0)), SUM(IF(AND(Xbar_R!T31:'Xbar_R'!W31&lt;Xbar_R!U31:'Xbar_R'!X31), 1, 0))))</f>
        <v>0</v>
      </c>
      <c r="Y22" s="106">
        <f t="array" ref="Y22">IF(OR($A$7=FALSE,Xbar_R!Y14=0), "", MAX(SUM(IF(AND(Xbar_R!U31:'Xbar_R'!X31&gt;Xbar_R!V31:'Xbar_R'!Y31),1, 0)), SUM(IF(AND(Xbar_R!U31:'Xbar_R'!X31&lt;Xbar_R!V31:'Xbar_R'!Y31), 1, 0))))</f>
        <v>0</v>
      </c>
      <c r="Z22" s="106">
        <f t="array" ref="Z22">IF(OR($A$7=FALSE,Xbar_R!Z14=0), "", MAX(SUM(IF(AND(Xbar_R!V31:'Xbar_R'!Y31&gt;Xbar_R!W31:'Xbar_R'!Z31),1, 0)), SUM(IF(AND(Xbar_R!V31:'Xbar_R'!Y31&lt;Xbar_R!W31:'Xbar_R'!Z31), 1, 0))))</f>
        <v>0</v>
      </c>
      <c r="AA22" s="106">
        <f t="array" ref="AA22">IF(OR($A$7=FALSE,Xbar_R!AA14=0), "", MAX(SUM(IF(AND(Xbar_R!W31:'Xbar_R'!Z31&gt;Xbar_R!X31:'Xbar_R'!AA31),1, 0)), SUM(IF(AND(Xbar_R!W31:'Xbar_R'!Z31&lt;Xbar_R!X31:'Xbar_R'!AA31), 1, 0))))</f>
        <v>0</v>
      </c>
      <c r="AB22" s="111">
        <f>+SUM(C22:AA22)</f>
        <v>0</v>
      </c>
    </row>
    <row r="23" spans="2:158" ht="13.5" thickBot="1" x14ac:dyDescent="0.25">
      <c r="B23" s="115"/>
      <c r="C23" s="116">
        <f t="shared" ref="C23:AA23" si="1">+SUM(C18:C22)</f>
        <v>0</v>
      </c>
      <c r="D23" s="116">
        <f t="shared" si="1"/>
        <v>0</v>
      </c>
      <c r="E23" s="116">
        <f t="shared" si="1"/>
        <v>0</v>
      </c>
      <c r="F23" s="116">
        <f t="shared" si="1"/>
        <v>0</v>
      </c>
      <c r="G23" s="116">
        <f t="shared" si="1"/>
        <v>0</v>
      </c>
      <c r="H23" s="116">
        <f t="shared" si="1"/>
        <v>0</v>
      </c>
      <c r="I23" s="116">
        <f t="shared" si="1"/>
        <v>0</v>
      </c>
      <c r="J23" s="116">
        <f t="shared" si="1"/>
        <v>0</v>
      </c>
      <c r="K23" s="116">
        <f t="shared" si="1"/>
        <v>0</v>
      </c>
      <c r="L23" s="116">
        <f t="shared" si="1"/>
        <v>0</v>
      </c>
      <c r="M23" s="116">
        <f t="shared" si="1"/>
        <v>0</v>
      </c>
      <c r="N23" s="116">
        <f t="shared" si="1"/>
        <v>0</v>
      </c>
      <c r="O23" s="116">
        <f t="shared" si="1"/>
        <v>0</v>
      </c>
      <c r="P23" s="116">
        <f t="shared" si="1"/>
        <v>0</v>
      </c>
      <c r="Q23" s="116">
        <f t="shared" si="1"/>
        <v>0</v>
      </c>
      <c r="R23" s="116">
        <f t="shared" si="1"/>
        <v>0</v>
      </c>
      <c r="S23" s="116">
        <f t="shared" si="1"/>
        <v>0</v>
      </c>
      <c r="T23" s="116">
        <f t="shared" si="1"/>
        <v>0</v>
      </c>
      <c r="U23" s="116">
        <f t="shared" si="1"/>
        <v>0</v>
      </c>
      <c r="V23" s="116">
        <f t="shared" si="1"/>
        <v>0</v>
      </c>
      <c r="W23" s="116">
        <f t="shared" si="1"/>
        <v>0</v>
      </c>
      <c r="X23" s="116">
        <f t="shared" si="1"/>
        <v>0</v>
      </c>
      <c r="Y23" s="116">
        <f t="shared" si="1"/>
        <v>0</v>
      </c>
      <c r="Z23" s="116">
        <f t="shared" si="1"/>
        <v>0</v>
      </c>
      <c r="AA23" s="116">
        <f t="shared" si="1"/>
        <v>0</v>
      </c>
      <c r="AB23" s="151">
        <f>+SUM(AB18:AB22)</f>
        <v>0</v>
      </c>
    </row>
    <row r="24" spans="2:158" ht="13.5" thickTop="1" x14ac:dyDescent="0.2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2:158" x14ac:dyDescent="0.2">
      <c r="B25" s="205" t="s">
        <v>60</v>
      </c>
      <c r="C25" s="205">
        <v>1</v>
      </c>
      <c r="D25" s="205">
        <v>2</v>
      </c>
      <c r="E25" s="205">
        <v>3</v>
      </c>
      <c r="F25" s="205">
        <v>4</v>
      </c>
      <c r="G25" s="205">
        <v>5</v>
      </c>
      <c r="H25" s="205">
        <v>6</v>
      </c>
      <c r="I25" s="205">
        <v>7</v>
      </c>
      <c r="J25" s="205">
        <v>8</v>
      </c>
      <c r="K25" s="205">
        <v>9</v>
      </c>
      <c r="L25" s="205">
        <v>10</v>
      </c>
      <c r="M25" s="205">
        <v>11</v>
      </c>
      <c r="N25" s="205">
        <v>12</v>
      </c>
      <c r="O25" s="205">
        <v>13</v>
      </c>
      <c r="P25" s="205">
        <v>14</v>
      </c>
      <c r="Q25" s="205">
        <v>15</v>
      </c>
      <c r="R25" s="205">
        <v>16</v>
      </c>
      <c r="S25" s="205">
        <v>17</v>
      </c>
      <c r="T25" s="205">
        <v>18</v>
      </c>
      <c r="U25" s="205">
        <v>19</v>
      </c>
      <c r="V25" s="205">
        <v>20</v>
      </c>
      <c r="W25" s="205">
        <v>21</v>
      </c>
      <c r="X25" s="205">
        <v>22</v>
      </c>
      <c r="Y25" s="205">
        <v>23</v>
      </c>
      <c r="Z25" s="205">
        <v>24</v>
      </c>
      <c r="AA25" s="205">
        <v>25</v>
      </c>
      <c r="AB25" s="135"/>
    </row>
    <row r="26" spans="2:158" x14ac:dyDescent="0.2">
      <c r="B26" s="205"/>
      <c r="C26" s="206" t="s">
        <v>57</v>
      </c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  <c r="AA26" s="205"/>
      <c r="AB26" s="135"/>
    </row>
    <row r="27" spans="2:158" x14ac:dyDescent="0.2">
      <c r="B27" s="156" t="s">
        <v>62</v>
      </c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35"/>
    </row>
    <row r="28" spans="2:158" x14ac:dyDescent="0.2">
      <c r="B28" s="147" t="s">
        <v>58</v>
      </c>
      <c r="C28" s="207">
        <f>+IF(Xbar_R!C14=0, NA(), (Xbar_R!C16-Xbar_R!C20)*0.667+Xbar_R!C20)</f>
        <v>7.4955030000000002</v>
      </c>
      <c r="D28" s="207">
        <f>+IF(Xbar_R!D14=0, NA(), (Xbar_R!D16-Xbar_R!D20)*0.667+Xbar_R!D20)</f>
        <v>7.4955030000000002</v>
      </c>
      <c r="E28" s="207">
        <f>+IF(Xbar_R!E14=0, NA(), (Xbar_R!E16-Xbar_R!E20)*0.667+Xbar_R!E20)</f>
        <v>7.4955030000000002</v>
      </c>
      <c r="F28" s="207">
        <f>+IF(Xbar_R!F14=0, NA(), (Xbar_R!F16-Xbar_R!F20)*0.667+Xbar_R!F20)</f>
        <v>7.4955030000000002</v>
      </c>
      <c r="G28" s="207">
        <f>+IF(Xbar_R!G14=0, NA(), (Xbar_R!G16-Xbar_R!G20)*0.667+Xbar_R!G20)</f>
        <v>7.4955030000000002</v>
      </c>
      <c r="H28" s="207" t="e">
        <f>+IF(Xbar_R!H14=0, NA(), (Xbar_R!H16-Xbar_R!H20)*0.667+Xbar_R!H20)</f>
        <v>#N/A</v>
      </c>
      <c r="I28" s="207">
        <f>+IF(Xbar_R!I14=0, NA(), (Xbar_R!I16-Xbar_R!I20)*0.667+Xbar_R!I20)</f>
        <v>7.4955030000000002</v>
      </c>
      <c r="J28" s="207">
        <f>+IF(Xbar_R!J14=0, NA(), (Xbar_R!J16-Xbar_R!J20)*0.667+Xbar_R!J20)</f>
        <v>7.4955030000000002</v>
      </c>
      <c r="K28" s="207">
        <f>+IF(Xbar_R!K14=0, NA(), (Xbar_R!K16-Xbar_R!K20)*0.667+Xbar_R!K20)</f>
        <v>7.4955030000000002</v>
      </c>
      <c r="L28" s="207">
        <f>+IF(Xbar_R!L14=0, NA(), (Xbar_R!L16-Xbar_R!L20)*0.667+Xbar_R!L20)</f>
        <v>7.4955030000000002</v>
      </c>
      <c r="M28" s="207">
        <f>+IF(Xbar_R!M14=0, NA(), (Xbar_R!M16-Xbar_R!M20)*0.667+Xbar_R!M20)</f>
        <v>7.4955030000000002</v>
      </c>
      <c r="N28" s="207">
        <f>+IF(Xbar_R!N14=0, NA(), (Xbar_R!N16-Xbar_R!N20)*0.667+Xbar_R!N20)</f>
        <v>7.4955030000000002</v>
      </c>
      <c r="O28" s="207">
        <f>+IF(Xbar_R!O14=0, NA(), (Xbar_R!O16-Xbar_R!O20)*0.667+Xbar_R!O20)</f>
        <v>7.4955030000000002</v>
      </c>
      <c r="P28" s="207">
        <f>+IF(Xbar_R!P14=0, NA(), (Xbar_R!P16-Xbar_R!P20)*0.667+Xbar_R!P20)</f>
        <v>7.4955030000000002</v>
      </c>
      <c r="Q28" s="207">
        <f>+IF(Xbar_R!Q14=0, NA(), (Xbar_R!Q16-Xbar_R!Q20)*0.667+Xbar_R!Q20)</f>
        <v>7.4955030000000002</v>
      </c>
      <c r="R28" s="207">
        <f>+IF(Xbar_R!R14=0, NA(), (Xbar_R!R16-Xbar_R!R20)*0.667+Xbar_R!R20)</f>
        <v>7.4955030000000002</v>
      </c>
      <c r="S28" s="207">
        <f>+IF(Xbar_R!S14=0, NA(), (Xbar_R!S16-Xbar_R!S20)*0.667+Xbar_R!S20)</f>
        <v>7.4955030000000002</v>
      </c>
      <c r="T28" s="207">
        <f>+IF(Xbar_R!T14=0, NA(), (Xbar_R!T16-Xbar_R!T20)*0.667+Xbar_R!T20)</f>
        <v>7.4955030000000002</v>
      </c>
      <c r="U28" s="207">
        <f>+IF(Xbar_R!U14=0, NA(), (Xbar_R!U16-Xbar_R!U20)*0.667+Xbar_R!U20)</f>
        <v>7.4955030000000002</v>
      </c>
      <c r="V28" s="207">
        <f>+IF(Xbar_R!V14=0, NA(), (Xbar_R!V16-Xbar_R!V20)*0.667+Xbar_R!V20)</f>
        <v>7.4955030000000002</v>
      </c>
      <c r="W28" s="207">
        <f>+IF(Xbar_R!W14=0, NA(), (Xbar_R!W16-Xbar_R!W20)*0.667+Xbar_R!W20)</f>
        <v>7.4955030000000002</v>
      </c>
      <c r="X28" s="207">
        <f>+IF(Xbar_R!X14=0, NA(), (Xbar_R!X16-Xbar_R!X20)*0.667+Xbar_R!X20)</f>
        <v>7.4955030000000002</v>
      </c>
      <c r="Y28" s="207">
        <f>+IF(Xbar_R!Y14=0, NA(), (Xbar_R!Y16-Xbar_R!Y20)*0.667+Xbar_R!Y20)</f>
        <v>7.4955030000000002</v>
      </c>
      <c r="Z28" s="207">
        <f>+IF(Xbar_R!Z14=0, NA(), (Xbar_R!Z16-Xbar_R!Z20)*0.667+Xbar_R!Z20)</f>
        <v>7.4955030000000002</v>
      </c>
      <c r="AA28" s="207">
        <f>+IF(Xbar_R!AA14=0, NA(), (Xbar_R!AA16-Xbar_R!AA20)*0.667+Xbar_R!AA20)</f>
        <v>7.4955030000000002</v>
      </c>
      <c r="AB28" s="135"/>
    </row>
    <row r="29" spans="2:158" x14ac:dyDescent="0.2">
      <c r="B29" s="147"/>
      <c r="C29" s="207">
        <f>+IF(Xbar_R!C14=0, "", (Xbar_R!C16-Xbar_R!C20)*0.667+Xbar_R!C20)</f>
        <v>7.4955030000000002</v>
      </c>
      <c r="D29" s="207">
        <f>+IF(Xbar_R!D14=0, "", (Xbar_R!D16-Xbar_R!D20)*0.667+Xbar_R!D20)</f>
        <v>7.4955030000000002</v>
      </c>
      <c r="E29" s="207">
        <f>+IF(Xbar_R!E14=0, "", (Xbar_R!E16-Xbar_R!E20)*0.667+Xbar_R!E20)</f>
        <v>7.4955030000000002</v>
      </c>
      <c r="F29" s="207">
        <f>+IF(Xbar_R!F14=0, "", (Xbar_R!F16-Xbar_R!F20)*0.667+Xbar_R!F20)</f>
        <v>7.4955030000000002</v>
      </c>
      <c r="G29" s="207">
        <f>+IF(Xbar_R!G14=0, "", (Xbar_R!G16-Xbar_R!G20)*0.667+Xbar_R!G20)</f>
        <v>7.4955030000000002</v>
      </c>
      <c r="H29" s="207" t="str">
        <f>+IF(Xbar_R!H14=0, "", (Xbar_R!H16-Xbar_R!H20)*0.667+Xbar_R!H20)</f>
        <v/>
      </c>
      <c r="I29" s="207">
        <f>+IF(Xbar_R!I14=0, "", (Xbar_R!I16-Xbar_R!I20)*0.667+Xbar_R!I20)</f>
        <v>7.4955030000000002</v>
      </c>
      <c r="J29" s="207">
        <f>+IF(Xbar_R!J14=0, "", (Xbar_R!J16-Xbar_R!J20)*0.667+Xbar_R!J20)</f>
        <v>7.4955030000000002</v>
      </c>
      <c r="K29" s="207">
        <f>+IF(Xbar_R!K14=0, "", (Xbar_R!K16-Xbar_R!K20)*0.667+Xbar_R!K20)</f>
        <v>7.4955030000000002</v>
      </c>
      <c r="L29" s="207">
        <f>+IF(Xbar_R!L14=0, "", (Xbar_R!L16-Xbar_R!L20)*0.667+Xbar_R!L20)</f>
        <v>7.4955030000000002</v>
      </c>
      <c r="M29" s="207">
        <f>+IF(Xbar_R!M14=0, "", (Xbar_R!M16-Xbar_R!M20)*0.667+Xbar_R!M20)</f>
        <v>7.4955030000000002</v>
      </c>
      <c r="N29" s="207">
        <f>+IF(Xbar_R!N14=0, "", (Xbar_R!N16-Xbar_R!N20)*0.667+Xbar_R!N20)</f>
        <v>7.4955030000000002</v>
      </c>
      <c r="O29" s="207">
        <f>+IF(Xbar_R!O14=0, "", (Xbar_R!O16-Xbar_R!O20)*0.667+Xbar_R!O20)</f>
        <v>7.4955030000000002</v>
      </c>
      <c r="P29" s="207">
        <f>+IF(Xbar_R!P14=0, "", (Xbar_R!P16-Xbar_R!P20)*0.667+Xbar_R!P20)</f>
        <v>7.4955030000000002</v>
      </c>
      <c r="Q29" s="207">
        <f>+IF(Xbar_R!Q14=0, "", (Xbar_R!Q16-Xbar_R!Q20)*0.667+Xbar_R!Q20)</f>
        <v>7.4955030000000002</v>
      </c>
      <c r="R29" s="207">
        <f>+IF(Xbar_R!R14=0, "", (Xbar_R!R16-Xbar_R!R20)*0.667+Xbar_R!R20)</f>
        <v>7.4955030000000002</v>
      </c>
      <c r="S29" s="207">
        <f>+IF(Xbar_R!S14=0, "", (Xbar_R!S16-Xbar_R!S20)*0.667+Xbar_R!S20)</f>
        <v>7.4955030000000002</v>
      </c>
      <c r="T29" s="207">
        <f>+IF(Xbar_R!T14=0, "", (Xbar_R!T16-Xbar_R!T20)*0.667+Xbar_R!T20)</f>
        <v>7.4955030000000002</v>
      </c>
      <c r="U29" s="207">
        <f>+IF(Xbar_R!U14=0, "", (Xbar_R!U16-Xbar_R!U20)*0.667+Xbar_R!U20)</f>
        <v>7.4955030000000002</v>
      </c>
      <c r="V29" s="207">
        <f>+IF(Xbar_R!V14=0, "", (Xbar_R!V16-Xbar_R!V20)*0.667+Xbar_R!V20)</f>
        <v>7.4955030000000002</v>
      </c>
      <c r="W29" s="207">
        <f>+IF(Xbar_R!W14=0, "", (Xbar_R!W16-Xbar_R!W20)*0.667+Xbar_R!W20)</f>
        <v>7.4955030000000002</v>
      </c>
      <c r="X29" s="207">
        <f>+IF(Xbar_R!X14=0, "", (Xbar_R!X16-Xbar_R!X20)*0.667+Xbar_R!X20)</f>
        <v>7.4955030000000002</v>
      </c>
      <c r="Y29" s="207">
        <f>+IF(Xbar_R!Y14=0, "", (Xbar_R!Y16-Xbar_R!Y20)*0.667+Xbar_R!Y20)</f>
        <v>7.4955030000000002</v>
      </c>
      <c r="Z29" s="207">
        <f>+IF(Xbar_R!Z14=0, "", (Xbar_R!Z16-Xbar_R!Z20)*0.667+Xbar_R!Z20)</f>
        <v>7.4955030000000002</v>
      </c>
      <c r="AA29" s="207">
        <f>+IF(Xbar_R!AA14=0, "", (Xbar_R!AA16-Xbar_R!AA20)*0.667+Xbar_R!AA20)</f>
        <v>7.4955030000000002</v>
      </c>
      <c r="AB29" s="135"/>
    </row>
    <row r="30" spans="2:158" x14ac:dyDescent="0.2">
      <c r="B30" s="147" t="s">
        <v>59</v>
      </c>
      <c r="C30" s="207">
        <f>+IF(Xbar_R!C14=0, NA(), (Xbar_R!C16-Xbar_R!C20)*0.333+Xbar_R!C20)</f>
        <v>6.9914969999999999</v>
      </c>
      <c r="D30" s="207">
        <f>+IF(Xbar_R!D14=0, NA(), (Xbar_R!D16-Xbar_R!D20)*0.333+Xbar_R!D20)</f>
        <v>6.9914969999999999</v>
      </c>
      <c r="E30" s="207">
        <f>+IF(Xbar_R!E14=0, NA(), (Xbar_R!E16-Xbar_R!E20)*0.333+Xbar_R!E20)</f>
        <v>6.9914969999999999</v>
      </c>
      <c r="F30" s="207">
        <f>+IF(Xbar_R!F14=0, NA(), (Xbar_R!F16-Xbar_R!F20)*0.333+Xbar_R!F20)</f>
        <v>6.9914969999999999</v>
      </c>
      <c r="G30" s="207">
        <f>+IF(Xbar_R!G14=0, NA(), (Xbar_R!G16-Xbar_R!G20)*0.333+Xbar_R!G20)</f>
        <v>6.9914969999999999</v>
      </c>
      <c r="H30" s="207" t="e">
        <f>+IF(Xbar_R!H14=0, NA(), (Xbar_R!H16-Xbar_R!H20)*0.333+Xbar_R!H20)</f>
        <v>#N/A</v>
      </c>
      <c r="I30" s="207">
        <f>+IF(Xbar_R!I14=0, NA(), (Xbar_R!I16-Xbar_R!I20)*0.333+Xbar_R!I20)</f>
        <v>6.9914969999999999</v>
      </c>
      <c r="J30" s="207">
        <f>+IF(Xbar_R!J14=0, NA(), (Xbar_R!J16-Xbar_R!J20)*0.333+Xbar_R!J20)</f>
        <v>6.9914969999999999</v>
      </c>
      <c r="K30" s="207">
        <f>+IF(Xbar_R!K14=0, NA(), (Xbar_R!K16-Xbar_R!K20)*0.333+Xbar_R!K20)</f>
        <v>6.9914969999999999</v>
      </c>
      <c r="L30" s="207">
        <f>+IF(Xbar_R!L14=0, NA(), (Xbar_R!L16-Xbar_R!L20)*0.333+Xbar_R!L20)</f>
        <v>6.9914969999999999</v>
      </c>
      <c r="M30" s="207">
        <f>+IF(Xbar_R!M14=0, NA(), (Xbar_R!M16-Xbar_R!M20)*0.333+Xbar_R!M20)</f>
        <v>6.9914969999999999</v>
      </c>
      <c r="N30" s="207">
        <f>+IF(Xbar_R!N14=0, NA(), (Xbar_R!N16-Xbar_R!N20)*0.333+Xbar_R!N20)</f>
        <v>6.9914969999999999</v>
      </c>
      <c r="O30" s="207">
        <f>+IF(Xbar_R!O14=0, NA(), (Xbar_R!O16-Xbar_R!O20)*0.333+Xbar_R!O20)</f>
        <v>6.9914969999999999</v>
      </c>
      <c r="P30" s="207">
        <f>+IF(Xbar_R!P14=0, NA(), (Xbar_R!P16-Xbar_R!P20)*0.333+Xbar_R!P20)</f>
        <v>6.9914969999999999</v>
      </c>
      <c r="Q30" s="207">
        <f>+IF(Xbar_R!Q14=0, NA(), (Xbar_R!Q16-Xbar_R!Q20)*0.333+Xbar_R!Q20)</f>
        <v>6.9914969999999999</v>
      </c>
      <c r="R30" s="207">
        <f>+IF(Xbar_R!R14=0, NA(), (Xbar_R!R16-Xbar_R!R20)*0.333+Xbar_R!R20)</f>
        <v>6.9914969999999999</v>
      </c>
      <c r="S30" s="207">
        <f>+IF(Xbar_R!S14=0, NA(), (Xbar_R!S16-Xbar_R!S20)*0.333+Xbar_R!S20)</f>
        <v>6.9914969999999999</v>
      </c>
      <c r="T30" s="207">
        <f>+IF(Xbar_R!T14=0, NA(), (Xbar_R!T16-Xbar_R!T20)*0.333+Xbar_R!T20)</f>
        <v>6.9914969999999999</v>
      </c>
      <c r="U30" s="207">
        <f>+IF(Xbar_R!U14=0, NA(), (Xbar_R!U16-Xbar_R!U20)*0.333+Xbar_R!U20)</f>
        <v>6.9914969999999999</v>
      </c>
      <c r="V30" s="207">
        <f>+IF(Xbar_R!V14=0, NA(), (Xbar_R!V16-Xbar_R!V20)*0.333+Xbar_R!V20)</f>
        <v>6.9914969999999999</v>
      </c>
      <c r="W30" s="207">
        <f>+IF(Xbar_R!W14=0, NA(), (Xbar_R!W16-Xbar_R!W20)*0.333+Xbar_R!W20)</f>
        <v>6.9914969999999999</v>
      </c>
      <c r="X30" s="207">
        <f>+IF(Xbar_R!X14=0, NA(), (Xbar_R!X16-Xbar_R!X20)*0.333+Xbar_R!X20)</f>
        <v>6.9914969999999999</v>
      </c>
      <c r="Y30" s="207">
        <f>+IF(Xbar_R!Y14=0, NA(), (Xbar_R!Y16-Xbar_R!Y20)*0.333+Xbar_R!Y20)</f>
        <v>6.9914969999999999</v>
      </c>
      <c r="Z30" s="207">
        <f>+IF(Xbar_R!Z14=0, NA(), (Xbar_R!Z16-Xbar_R!Z20)*0.333+Xbar_R!Z20)</f>
        <v>6.9914969999999999</v>
      </c>
      <c r="AA30" s="207">
        <f>+IF(Xbar_R!AA14=0, NA(), (Xbar_R!AA16-Xbar_R!AA20)*0.333+Xbar_R!AA20)</f>
        <v>6.9914969999999999</v>
      </c>
      <c r="AB30" s="135"/>
    </row>
    <row r="31" spans="2:158" x14ac:dyDescent="0.2">
      <c r="B31" s="147"/>
      <c r="C31" s="207">
        <f>+IF(Xbar_R!C14=0, "", (Xbar_R!C16-Xbar_R!C20)*0.333+Xbar_R!C20)</f>
        <v>6.9914969999999999</v>
      </c>
      <c r="D31" s="207">
        <f>+IF(Xbar_R!D14=0, "", (Xbar_R!D16-Xbar_R!D20)*0.333+Xbar_R!D20)</f>
        <v>6.9914969999999999</v>
      </c>
      <c r="E31" s="207">
        <f>+IF(Xbar_R!E14=0, "", (Xbar_R!E16-Xbar_R!E20)*0.333+Xbar_R!E20)</f>
        <v>6.9914969999999999</v>
      </c>
      <c r="F31" s="207">
        <f>+IF(Xbar_R!F14=0, "", (Xbar_R!F16-Xbar_R!F20)*0.333+Xbar_R!F20)</f>
        <v>6.9914969999999999</v>
      </c>
      <c r="G31" s="207">
        <f>+IF(Xbar_R!G14=0, "", (Xbar_R!G16-Xbar_R!G20)*0.333+Xbar_R!G20)</f>
        <v>6.9914969999999999</v>
      </c>
      <c r="H31" s="207" t="str">
        <f>+IF(Xbar_R!H14=0, "", (Xbar_R!H16-Xbar_R!H20)*0.333+Xbar_R!H20)</f>
        <v/>
      </c>
      <c r="I31" s="207">
        <f>+IF(Xbar_R!I14=0, "", (Xbar_R!I16-Xbar_R!I20)*0.333+Xbar_R!I20)</f>
        <v>6.9914969999999999</v>
      </c>
      <c r="J31" s="207">
        <f>+IF(Xbar_R!J14=0, "", (Xbar_R!J16-Xbar_R!J20)*0.333+Xbar_R!J20)</f>
        <v>6.9914969999999999</v>
      </c>
      <c r="K31" s="207">
        <f>+IF(Xbar_R!K14=0, "", (Xbar_R!K16-Xbar_R!K20)*0.333+Xbar_R!K20)</f>
        <v>6.9914969999999999</v>
      </c>
      <c r="L31" s="207">
        <f>+IF(Xbar_R!L14=0, "", (Xbar_R!L16-Xbar_R!L20)*0.333+Xbar_R!L20)</f>
        <v>6.9914969999999999</v>
      </c>
      <c r="M31" s="207">
        <f>+IF(Xbar_R!M14=0, "", (Xbar_R!M16-Xbar_R!M20)*0.333+Xbar_R!M20)</f>
        <v>6.9914969999999999</v>
      </c>
      <c r="N31" s="207">
        <f>+IF(Xbar_R!N14=0, "", (Xbar_R!N16-Xbar_R!N20)*0.333+Xbar_R!N20)</f>
        <v>6.9914969999999999</v>
      </c>
      <c r="O31" s="207">
        <f>+IF(Xbar_R!O14=0, "", (Xbar_R!O16-Xbar_R!O20)*0.333+Xbar_R!O20)</f>
        <v>6.9914969999999999</v>
      </c>
      <c r="P31" s="207">
        <f>+IF(Xbar_R!P14=0, "", (Xbar_R!P16-Xbar_R!P20)*0.333+Xbar_R!P20)</f>
        <v>6.9914969999999999</v>
      </c>
      <c r="Q31" s="207">
        <f>+IF(Xbar_R!Q14=0, "", (Xbar_R!Q16-Xbar_R!Q20)*0.333+Xbar_R!Q20)</f>
        <v>6.9914969999999999</v>
      </c>
      <c r="R31" s="207">
        <f>+IF(Xbar_R!R14=0, "", (Xbar_R!R16-Xbar_R!R20)*0.333+Xbar_R!R20)</f>
        <v>6.9914969999999999</v>
      </c>
      <c r="S31" s="207">
        <f>+IF(Xbar_R!S14=0, "", (Xbar_R!S16-Xbar_R!S20)*0.333+Xbar_R!S20)</f>
        <v>6.9914969999999999</v>
      </c>
      <c r="T31" s="207">
        <f>+IF(Xbar_R!T14=0, "", (Xbar_R!T16-Xbar_R!T20)*0.333+Xbar_R!T20)</f>
        <v>6.9914969999999999</v>
      </c>
      <c r="U31" s="207">
        <f>+IF(Xbar_R!U14=0, "", (Xbar_R!U16-Xbar_R!U20)*0.333+Xbar_R!U20)</f>
        <v>6.9914969999999999</v>
      </c>
      <c r="V31" s="207">
        <f>+IF(Xbar_R!V14=0, "", (Xbar_R!V16-Xbar_R!V20)*0.333+Xbar_R!V20)</f>
        <v>6.9914969999999999</v>
      </c>
      <c r="W31" s="207">
        <f>+IF(Xbar_R!W14=0, "", (Xbar_R!W16-Xbar_R!W20)*0.333+Xbar_R!W20)</f>
        <v>6.9914969999999999</v>
      </c>
      <c r="X31" s="207">
        <f>+IF(Xbar_R!X14=0, "", (Xbar_R!X16-Xbar_R!X20)*0.333+Xbar_R!X20)</f>
        <v>6.9914969999999999</v>
      </c>
      <c r="Y31" s="207">
        <f>+IF(Xbar_R!Y14=0, "", (Xbar_R!Y16-Xbar_R!Y20)*0.333+Xbar_R!Y20)</f>
        <v>6.9914969999999999</v>
      </c>
      <c r="Z31" s="207">
        <f>+IF(Xbar_R!Z14=0, "", (Xbar_R!Z16-Xbar_R!Z20)*0.333+Xbar_R!Z20)</f>
        <v>6.9914969999999999</v>
      </c>
      <c r="AA31" s="207">
        <f>+IF(Xbar_R!AA14=0, "", (Xbar_R!AA16-Xbar_R!AA20)*0.333+Xbar_R!AA20)</f>
        <v>6.9914969999999999</v>
      </c>
      <c r="AB31" s="135"/>
    </row>
    <row r="32" spans="2:158" x14ac:dyDescent="0.2">
      <c r="B32" s="156" t="s">
        <v>63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208"/>
      <c r="P32" s="208"/>
      <c r="Q32" s="208"/>
      <c r="R32" s="208"/>
      <c r="S32" s="208"/>
      <c r="T32" s="208"/>
      <c r="U32" s="208"/>
      <c r="V32" s="208"/>
      <c r="W32" s="208"/>
      <c r="X32" s="208"/>
      <c r="Y32" s="208"/>
      <c r="Z32" s="208"/>
      <c r="AA32" s="208"/>
      <c r="AB32" s="135"/>
    </row>
    <row r="33" spans="2:28" x14ac:dyDescent="0.2">
      <c r="B33" s="147" t="s">
        <v>58</v>
      </c>
      <c r="C33" s="207">
        <f>+IF(Xbar_R!C14=0, NA(), Xbar_R!C20-(Xbar_R!C20-Xbar_R!C18)*0.667)</f>
        <v>5.4818300000000004</v>
      </c>
      <c r="D33" s="207">
        <f>+IF(Xbar_R!D14=0, NA(), Xbar_R!D20-(Xbar_R!D20-Xbar_R!D18)*0.667)</f>
        <v>5.4818300000000004</v>
      </c>
      <c r="E33" s="207">
        <f>+IF(Xbar_R!E14=0, NA(), Xbar_R!E20-(Xbar_R!E20-Xbar_R!E18)*0.667)</f>
        <v>5.4818300000000004</v>
      </c>
      <c r="F33" s="207">
        <f>+IF(Xbar_R!F14=0, NA(), Xbar_R!F20-(Xbar_R!F20-Xbar_R!F18)*0.667)</f>
        <v>5.4818300000000004</v>
      </c>
      <c r="G33" s="207">
        <f>+IF(Xbar_R!G14=0, NA(), Xbar_R!G20-(Xbar_R!G20-Xbar_R!G18)*0.667)</f>
        <v>5.4818300000000004</v>
      </c>
      <c r="H33" s="207" t="e">
        <f>+IF(Xbar_R!H14=0, NA(), Xbar_R!H20-(Xbar_R!H20-Xbar_R!H18)*0.667)</f>
        <v>#N/A</v>
      </c>
      <c r="I33" s="207">
        <f>+IF(Xbar_R!I14=0, NA(), Xbar_R!I20-(Xbar_R!I20-Xbar_R!I18)*0.667)</f>
        <v>5.4818300000000004</v>
      </c>
      <c r="J33" s="207">
        <f>+IF(Xbar_R!J14=0, NA(), Xbar_R!J20-(Xbar_R!J20-Xbar_R!J18)*0.667)</f>
        <v>5.4818300000000004</v>
      </c>
      <c r="K33" s="207">
        <f>+IF(Xbar_R!K14=0, NA(), Xbar_R!K20-(Xbar_R!K20-Xbar_R!K18)*0.667)</f>
        <v>5.4818300000000004</v>
      </c>
      <c r="L33" s="207">
        <f>+IF(Xbar_R!L14=0, NA(), Xbar_R!L20-(Xbar_R!L20-Xbar_R!L18)*0.667)</f>
        <v>5.4818300000000004</v>
      </c>
      <c r="M33" s="207">
        <f>+IF(Xbar_R!M14=0, NA(), Xbar_R!M20-(Xbar_R!M20-Xbar_R!M18)*0.667)</f>
        <v>5.4818300000000004</v>
      </c>
      <c r="N33" s="207">
        <f>+IF(Xbar_R!N14=0, NA(), Xbar_R!N20-(Xbar_R!N20-Xbar_R!N18)*0.667)</f>
        <v>5.4818300000000004</v>
      </c>
      <c r="O33" s="207">
        <f>+IF(Xbar_R!O14=0, NA(), Xbar_R!O20-(Xbar_R!O20-Xbar_R!O18)*0.667)</f>
        <v>5.4818300000000004</v>
      </c>
      <c r="P33" s="207">
        <f>+IF(Xbar_R!P14=0, NA(), Xbar_R!P20-(Xbar_R!P20-Xbar_R!P18)*0.667)</f>
        <v>5.4818300000000004</v>
      </c>
      <c r="Q33" s="207">
        <f>+IF(Xbar_R!Q14=0, NA(), Xbar_R!Q20-(Xbar_R!Q20-Xbar_R!Q18)*0.667)</f>
        <v>5.4818300000000004</v>
      </c>
      <c r="R33" s="207">
        <f>+IF(Xbar_R!R14=0, NA(), Xbar_R!R20-(Xbar_R!R20-Xbar_R!R18)*0.667)</f>
        <v>5.4818300000000004</v>
      </c>
      <c r="S33" s="207">
        <f>+IF(Xbar_R!S14=0, NA(), Xbar_R!S20-(Xbar_R!S20-Xbar_R!S18)*0.667)</f>
        <v>5.4818300000000004</v>
      </c>
      <c r="T33" s="207">
        <f>+IF(Xbar_R!T14=0, NA(), Xbar_R!T20-(Xbar_R!T20-Xbar_R!T18)*0.667)</f>
        <v>5.4818300000000004</v>
      </c>
      <c r="U33" s="207">
        <f>+IF(Xbar_R!U14=0, NA(), Xbar_R!U20-(Xbar_R!U20-Xbar_R!U18)*0.667)</f>
        <v>5.4818300000000004</v>
      </c>
      <c r="V33" s="207">
        <f>+IF(Xbar_R!V14=0, NA(), Xbar_R!V20-(Xbar_R!V20-Xbar_R!V18)*0.667)</f>
        <v>5.4818300000000004</v>
      </c>
      <c r="W33" s="207">
        <f>+IF(Xbar_R!W14=0, NA(), Xbar_R!W20-(Xbar_R!W20-Xbar_R!W18)*0.667)</f>
        <v>5.4818300000000004</v>
      </c>
      <c r="X33" s="207">
        <f>+IF(Xbar_R!X14=0, NA(), Xbar_R!X20-(Xbar_R!X20-Xbar_R!X18)*0.667)</f>
        <v>5.4818300000000004</v>
      </c>
      <c r="Y33" s="207">
        <f>+IF(Xbar_R!Y14=0, NA(), Xbar_R!Y20-(Xbar_R!Y20-Xbar_R!Y18)*0.667)</f>
        <v>5.4818300000000004</v>
      </c>
      <c r="Z33" s="207">
        <f>+IF(Xbar_R!Z14=0, NA(), Xbar_R!Z20-(Xbar_R!Z20-Xbar_R!Z18)*0.667)</f>
        <v>5.4818300000000004</v>
      </c>
      <c r="AA33" s="207">
        <f>+IF(Xbar_R!AA14=0, NA(), Xbar_R!AA20-(Xbar_R!AA20-Xbar_R!AA18)*0.667)</f>
        <v>5.4818300000000004</v>
      </c>
      <c r="AB33" s="135"/>
    </row>
    <row r="34" spans="2:28" x14ac:dyDescent="0.2">
      <c r="B34" s="147"/>
      <c r="C34" s="207">
        <f>+IF(Xbar_R!C14=0, "", Xbar_R!C20-(Xbar_R!C20-Xbar_R!C18)*0.667)</f>
        <v>5.4818300000000004</v>
      </c>
      <c r="D34" s="207">
        <f>+IF(Xbar_R!D14=0, "", Xbar_R!D20-(Xbar_R!D20-Xbar_R!D18)*0.667)</f>
        <v>5.4818300000000004</v>
      </c>
      <c r="E34" s="207">
        <f>+IF(Xbar_R!E14=0, "", Xbar_R!E20-(Xbar_R!E20-Xbar_R!E18)*0.667)</f>
        <v>5.4818300000000004</v>
      </c>
      <c r="F34" s="207">
        <f>+IF(Xbar_R!F14=0, "", Xbar_R!F20-(Xbar_R!F20-Xbar_R!F18)*0.667)</f>
        <v>5.4818300000000004</v>
      </c>
      <c r="G34" s="207">
        <f>+IF(Xbar_R!G14=0, "", Xbar_R!G20-(Xbar_R!G20-Xbar_R!G18)*0.667)</f>
        <v>5.4818300000000004</v>
      </c>
      <c r="H34" s="207" t="str">
        <f>+IF(Xbar_R!H14=0, "", Xbar_R!H20-(Xbar_R!H20-Xbar_R!H18)*0.667)</f>
        <v/>
      </c>
      <c r="I34" s="207">
        <f>+IF(Xbar_R!I14=0, "", Xbar_R!I20-(Xbar_R!I20-Xbar_R!I18)*0.667)</f>
        <v>5.4818300000000004</v>
      </c>
      <c r="J34" s="207">
        <f>+IF(Xbar_R!J14=0, "", Xbar_R!J20-(Xbar_R!J20-Xbar_R!J18)*0.667)</f>
        <v>5.4818300000000004</v>
      </c>
      <c r="K34" s="207">
        <f>+IF(Xbar_R!K14=0, "", Xbar_R!K20-(Xbar_R!K20-Xbar_R!K18)*0.667)</f>
        <v>5.4818300000000004</v>
      </c>
      <c r="L34" s="207">
        <f>+IF(Xbar_R!L14=0, "", Xbar_R!L20-(Xbar_R!L20-Xbar_R!L18)*0.667)</f>
        <v>5.4818300000000004</v>
      </c>
      <c r="M34" s="207">
        <f>+IF(Xbar_R!M14=0, "", Xbar_R!M20-(Xbar_R!M20-Xbar_R!M18)*0.667)</f>
        <v>5.4818300000000004</v>
      </c>
      <c r="N34" s="207">
        <f>+IF(Xbar_R!N14=0, "", Xbar_R!N20-(Xbar_R!N20-Xbar_R!N18)*0.667)</f>
        <v>5.4818300000000004</v>
      </c>
      <c r="O34" s="207">
        <f>+IF(Xbar_R!O14=0, "", Xbar_R!O20-(Xbar_R!O20-Xbar_R!O18)*0.667)</f>
        <v>5.4818300000000004</v>
      </c>
      <c r="P34" s="207">
        <f>+IF(Xbar_R!P14=0, "", Xbar_R!P20-(Xbar_R!P20-Xbar_R!P18)*0.667)</f>
        <v>5.4818300000000004</v>
      </c>
      <c r="Q34" s="207">
        <f>+IF(Xbar_R!Q14=0, "", Xbar_R!Q20-(Xbar_R!Q20-Xbar_R!Q18)*0.667)</f>
        <v>5.4818300000000004</v>
      </c>
      <c r="R34" s="207">
        <f>+IF(Xbar_R!R14=0, "", Xbar_R!R20-(Xbar_R!R20-Xbar_R!R18)*0.667)</f>
        <v>5.4818300000000004</v>
      </c>
      <c r="S34" s="207">
        <f>+IF(Xbar_R!S14=0, "", Xbar_R!S20-(Xbar_R!S20-Xbar_R!S18)*0.667)</f>
        <v>5.4818300000000004</v>
      </c>
      <c r="T34" s="207">
        <f>+IF(Xbar_R!T14=0, "", Xbar_R!T20-(Xbar_R!T20-Xbar_R!T18)*0.667)</f>
        <v>5.4818300000000004</v>
      </c>
      <c r="U34" s="207">
        <f>+IF(Xbar_R!U14=0, "", Xbar_R!U20-(Xbar_R!U20-Xbar_R!U18)*0.667)</f>
        <v>5.4818300000000004</v>
      </c>
      <c r="V34" s="207">
        <f>+IF(Xbar_R!V14=0, "", Xbar_R!V20-(Xbar_R!V20-Xbar_R!V18)*0.667)</f>
        <v>5.4818300000000004</v>
      </c>
      <c r="W34" s="207">
        <f>+IF(Xbar_R!W14=0, "", Xbar_R!W20-(Xbar_R!W20-Xbar_R!W18)*0.667)</f>
        <v>5.4818300000000004</v>
      </c>
      <c r="X34" s="207">
        <f>+IF(Xbar_R!X14=0, "", Xbar_R!X20-(Xbar_R!X20-Xbar_R!X18)*0.667)</f>
        <v>5.4818300000000004</v>
      </c>
      <c r="Y34" s="207">
        <f>+IF(Xbar_R!Y14=0, "", Xbar_R!Y20-(Xbar_R!Y20-Xbar_R!Y18)*0.667)</f>
        <v>5.4818300000000004</v>
      </c>
      <c r="Z34" s="207">
        <f>+IF(Xbar_R!Z14=0, "", Xbar_R!Z20-(Xbar_R!Z20-Xbar_R!Z18)*0.667)</f>
        <v>5.4818300000000004</v>
      </c>
      <c r="AA34" s="207">
        <f>+IF(Xbar_R!AA14=0, "", Xbar_R!AA20-(Xbar_R!AA20-Xbar_R!AA18)*0.667)</f>
        <v>5.4818300000000004</v>
      </c>
      <c r="AB34" s="135"/>
    </row>
    <row r="35" spans="2:28" x14ac:dyDescent="0.2">
      <c r="B35" s="157" t="s">
        <v>59</v>
      </c>
      <c r="C35" s="207">
        <f>+IF(Xbar_R!C14=0, NA(), Xbar_R!C20-(Xbar_R!C20-Xbar_R!C18)*0.333)</f>
        <v>5.9861699999999995</v>
      </c>
      <c r="D35" s="207">
        <f>+IF(Xbar_R!D14=0, NA(), Xbar_R!D20-(Xbar_R!D20-Xbar_R!D18)*0.333)</f>
        <v>5.9861699999999995</v>
      </c>
      <c r="E35" s="207">
        <f>+IF(Xbar_R!E14=0, NA(), Xbar_R!E20-(Xbar_R!E20-Xbar_R!E18)*0.333)</f>
        <v>5.9861699999999995</v>
      </c>
      <c r="F35" s="207">
        <f>+IF(Xbar_R!F14=0, NA(), Xbar_R!F20-(Xbar_R!F20-Xbar_R!F18)*0.333)</f>
        <v>5.9861699999999995</v>
      </c>
      <c r="G35" s="207">
        <f>+IF(Xbar_R!G14=0, NA(), Xbar_R!G20-(Xbar_R!G20-Xbar_R!G18)*0.333)</f>
        <v>5.9861699999999995</v>
      </c>
      <c r="H35" s="207" t="e">
        <f>+IF(Xbar_R!H14=0, NA(), Xbar_R!H20-(Xbar_R!H20-Xbar_R!H18)*0.333)</f>
        <v>#N/A</v>
      </c>
      <c r="I35" s="207">
        <f>+IF(Xbar_R!I14=0, NA(), Xbar_R!I20-(Xbar_R!I20-Xbar_R!I18)*0.333)</f>
        <v>5.9861699999999995</v>
      </c>
      <c r="J35" s="207">
        <f>+IF(Xbar_R!J14=0, NA(), Xbar_R!J20-(Xbar_R!J20-Xbar_R!J18)*0.333)</f>
        <v>5.9861699999999995</v>
      </c>
      <c r="K35" s="207">
        <f>+IF(Xbar_R!K14=0, NA(), Xbar_R!K20-(Xbar_R!K20-Xbar_R!K18)*0.333)</f>
        <v>5.9861699999999995</v>
      </c>
      <c r="L35" s="207">
        <f>+IF(Xbar_R!L14=0, NA(), Xbar_R!L20-(Xbar_R!L20-Xbar_R!L18)*0.333)</f>
        <v>5.9861699999999995</v>
      </c>
      <c r="M35" s="207">
        <f>+IF(Xbar_R!M14=0, NA(), Xbar_R!M20-(Xbar_R!M20-Xbar_R!M18)*0.333)</f>
        <v>5.9861699999999995</v>
      </c>
      <c r="N35" s="207">
        <f>+IF(Xbar_R!N14=0, NA(), Xbar_R!N20-(Xbar_R!N20-Xbar_R!N18)*0.333)</f>
        <v>5.9861699999999995</v>
      </c>
      <c r="O35" s="207">
        <f>+IF(Xbar_R!O14=0, NA(), Xbar_R!O20-(Xbar_R!O20-Xbar_R!O18)*0.333)</f>
        <v>5.9861699999999995</v>
      </c>
      <c r="P35" s="207">
        <f>+IF(Xbar_R!P14=0, NA(), Xbar_R!P20-(Xbar_R!P20-Xbar_R!P18)*0.333)</f>
        <v>5.9861699999999995</v>
      </c>
      <c r="Q35" s="207">
        <f>+IF(Xbar_R!Q14=0, NA(), Xbar_R!Q20-(Xbar_R!Q20-Xbar_R!Q18)*0.333)</f>
        <v>5.9861699999999995</v>
      </c>
      <c r="R35" s="207">
        <f>+IF(Xbar_R!R14=0, NA(), Xbar_R!R20-(Xbar_R!R20-Xbar_R!R18)*0.333)</f>
        <v>5.9861699999999995</v>
      </c>
      <c r="S35" s="207">
        <f>+IF(Xbar_R!S14=0, NA(), Xbar_R!S20-(Xbar_R!S20-Xbar_R!S18)*0.333)</f>
        <v>5.9861699999999995</v>
      </c>
      <c r="T35" s="207">
        <f>+IF(Xbar_R!T14=0, NA(), Xbar_R!T20-(Xbar_R!T20-Xbar_R!T18)*0.333)</f>
        <v>5.9861699999999995</v>
      </c>
      <c r="U35" s="207">
        <f>+IF(Xbar_R!U14=0, NA(), Xbar_R!U20-(Xbar_R!U20-Xbar_R!U18)*0.333)</f>
        <v>5.9861699999999995</v>
      </c>
      <c r="V35" s="207">
        <f>+IF(Xbar_R!V14=0, NA(), Xbar_R!V20-(Xbar_R!V20-Xbar_R!V18)*0.333)</f>
        <v>5.9861699999999995</v>
      </c>
      <c r="W35" s="207">
        <f>+IF(Xbar_R!W14=0, NA(), Xbar_R!W20-(Xbar_R!W20-Xbar_R!W18)*0.333)</f>
        <v>5.9861699999999995</v>
      </c>
      <c r="X35" s="207">
        <f>+IF(Xbar_R!X14=0, NA(), Xbar_R!X20-(Xbar_R!X20-Xbar_R!X18)*0.333)</f>
        <v>5.9861699999999995</v>
      </c>
      <c r="Y35" s="207">
        <f>+IF(Xbar_R!Y14=0, NA(), Xbar_R!Y20-(Xbar_R!Y20-Xbar_R!Y18)*0.333)</f>
        <v>5.9861699999999995</v>
      </c>
      <c r="Z35" s="207">
        <f>+IF(Xbar_R!Z14=0, NA(), Xbar_R!Z20-(Xbar_R!Z20-Xbar_R!Z18)*0.333)</f>
        <v>5.9861699999999995</v>
      </c>
      <c r="AA35" s="207">
        <f>+IF(Xbar_R!AA14=0, NA(), Xbar_R!AA20-(Xbar_R!AA20-Xbar_R!AA18)*0.333)</f>
        <v>5.9861699999999995</v>
      </c>
      <c r="AB35" s="135"/>
    </row>
    <row r="36" spans="2:28" x14ac:dyDescent="0.2">
      <c r="B36" s="147"/>
      <c r="C36" s="207">
        <f>+IF(Xbar_R!C14=0, "", Xbar_R!C20-(Xbar_R!C20-Xbar_R!C18)*0.333)</f>
        <v>5.9861699999999995</v>
      </c>
      <c r="D36" s="207">
        <f>+IF(Xbar_R!D14=0, "", Xbar_R!D20-(Xbar_R!D20-Xbar_R!D18)*0.333)</f>
        <v>5.9861699999999995</v>
      </c>
      <c r="E36" s="207">
        <f>+IF(Xbar_R!E14=0, "", Xbar_R!E20-(Xbar_R!E20-Xbar_R!E18)*0.333)</f>
        <v>5.9861699999999995</v>
      </c>
      <c r="F36" s="207">
        <f>+IF(Xbar_R!F14=0, "", Xbar_R!F20-(Xbar_R!F20-Xbar_R!F18)*0.333)</f>
        <v>5.9861699999999995</v>
      </c>
      <c r="G36" s="207">
        <f>+IF(Xbar_R!G14=0, "", Xbar_R!G20-(Xbar_R!G20-Xbar_R!G18)*0.333)</f>
        <v>5.9861699999999995</v>
      </c>
      <c r="H36" s="207" t="str">
        <f>+IF(Xbar_R!H14=0, "", Xbar_R!H20-(Xbar_R!H20-Xbar_R!H18)*0.333)</f>
        <v/>
      </c>
      <c r="I36" s="207">
        <f>+IF(Xbar_R!I14=0, "", Xbar_R!I20-(Xbar_R!I20-Xbar_R!I18)*0.333)</f>
        <v>5.9861699999999995</v>
      </c>
      <c r="J36" s="207">
        <f>+IF(Xbar_R!J14=0, "", Xbar_R!J20-(Xbar_R!J20-Xbar_R!J18)*0.333)</f>
        <v>5.9861699999999995</v>
      </c>
      <c r="K36" s="207">
        <f>+IF(Xbar_R!K14=0, "", Xbar_R!K20-(Xbar_R!K20-Xbar_R!K18)*0.333)</f>
        <v>5.9861699999999995</v>
      </c>
      <c r="L36" s="207">
        <f>+IF(Xbar_R!L14=0, "", Xbar_R!L20-(Xbar_R!L20-Xbar_R!L18)*0.333)</f>
        <v>5.9861699999999995</v>
      </c>
      <c r="M36" s="207">
        <f>+IF(Xbar_R!M14=0, "", Xbar_R!M20-(Xbar_R!M20-Xbar_R!M18)*0.333)</f>
        <v>5.9861699999999995</v>
      </c>
      <c r="N36" s="207">
        <f>+IF(Xbar_R!N14=0, "", Xbar_R!N20-(Xbar_R!N20-Xbar_R!N18)*0.333)</f>
        <v>5.9861699999999995</v>
      </c>
      <c r="O36" s="207">
        <f>+IF(Xbar_R!O14=0, "", Xbar_R!O20-(Xbar_R!O20-Xbar_R!O18)*0.333)</f>
        <v>5.9861699999999995</v>
      </c>
      <c r="P36" s="207">
        <f>+IF(Xbar_R!P14=0, "", Xbar_R!P20-(Xbar_R!P20-Xbar_R!P18)*0.333)</f>
        <v>5.9861699999999995</v>
      </c>
      <c r="Q36" s="207">
        <f>+IF(Xbar_R!Q14=0, "", Xbar_R!Q20-(Xbar_R!Q20-Xbar_R!Q18)*0.333)</f>
        <v>5.9861699999999995</v>
      </c>
      <c r="R36" s="207">
        <f>+IF(Xbar_R!R14=0, "", Xbar_R!R20-(Xbar_R!R20-Xbar_R!R18)*0.333)</f>
        <v>5.9861699999999995</v>
      </c>
      <c r="S36" s="207">
        <f>+IF(Xbar_R!S14=0, "", Xbar_R!S20-(Xbar_R!S20-Xbar_R!S18)*0.333)</f>
        <v>5.9861699999999995</v>
      </c>
      <c r="T36" s="207">
        <f>+IF(Xbar_R!T14=0, "", Xbar_R!T20-(Xbar_R!T20-Xbar_R!T18)*0.333)</f>
        <v>5.9861699999999995</v>
      </c>
      <c r="U36" s="207">
        <f>+IF(Xbar_R!U14=0, "", Xbar_R!U20-(Xbar_R!U20-Xbar_R!U18)*0.333)</f>
        <v>5.9861699999999995</v>
      </c>
      <c r="V36" s="207">
        <f>+IF(Xbar_R!V14=0, "", Xbar_R!V20-(Xbar_R!V20-Xbar_R!V18)*0.333)</f>
        <v>5.9861699999999995</v>
      </c>
      <c r="W36" s="207">
        <f>+IF(Xbar_R!W14=0, "", Xbar_R!W20-(Xbar_R!W20-Xbar_R!W18)*0.333)</f>
        <v>5.9861699999999995</v>
      </c>
      <c r="X36" s="207">
        <f>+IF(Xbar_R!X14=0, "", Xbar_R!X20-(Xbar_R!X20-Xbar_R!X18)*0.333)</f>
        <v>5.9861699999999995</v>
      </c>
      <c r="Y36" s="207">
        <f>+IF(Xbar_R!Y14=0, "", Xbar_R!Y20-(Xbar_R!Y20-Xbar_R!Y18)*0.333)</f>
        <v>5.9861699999999995</v>
      </c>
      <c r="Z36" s="207">
        <f>+IF(Xbar_R!Z14=0, "", Xbar_R!Z20-(Xbar_R!Z20-Xbar_R!Z18)*0.333)</f>
        <v>5.9861699999999995</v>
      </c>
      <c r="AA36" s="207">
        <f>+IF(Xbar_R!AA14=0, "", Xbar_R!AA20-(Xbar_R!AA20-Xbar_R!AA18)*0.333)</f>
        <v>5.9861699999999995</v>
      </c>
      <c r="AB36" s="135"/>
    </row>
    <row r="37" spans="2:28" x14ac:dyDescent="0.2"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35"/>
    </row>
    <row r="38" spans="2:28" x14ac:dyDescent="0.2">
      <c r="B38" s="147"/>
      <c r="C38" s="156" t="s">
        <v>61</v>
      </c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35"/>
    </row>
    <row r="39" spans="2:28" x14ac:dyDescent="0.2">
      <c r="B39" s="156" t="s">
        <v>62</v>
      </c>
      <c r="C39" s="149"/>
      <c r="D39" s="149"/>
      <c r="E39" s="149"/>
      <c r="F39" s="149"/>
      <c r="G39" s="149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35"/>
    </row>
    <row r="40" spans="2:28" x14ac:dyDescent="0.2">
      <c r="B40" s="147" t="s">
        <v>58</v>
      </c>
      <c r="C40" s="147">
        <f>+IF(Xbar_R!C14=0, NA(), (Xbar_R!C25-Xbar_R!C29)*0.667+Xbar_R!C29)</f>
        <v>4.5623040000000001</v>
      </c>
      <c r="D40" s="147">
        <f>+IF(Xbar_R!D14=0, NA(), (Xbar_R!D25-Xbar_R!D29)*0.667+Xbar_R!D29)</f>
        <v>4.5623040000000001</v>
      </c>
      <c r="E40" s="147">
        <f>+IF(Xbar_R!E14=0, NA(), (Xbar_R!E25-Xbar_R!E29)*0.667+Xbar_R!E29)</f>
        <v>4.5623040000000001</v>
      </c>
      <c r="F40" s="147">
        <f>+IF(Xbar_R!F14=0, NA(), (Xbar_R!F25-Xbar_R!F29)*0.667+Xbar_R!F29)</f>
        <v>4.5623040000000001</v>
      </c>
      <c r="G40" s="147">
        <f>+IF(Xbar_R!G14=0, NA(), (Xbar_R!G25-Xbar_R!G29)*0.667+Xbar_R!G29)</f>
        <v>4.5623040000000001</v>
      </c>
      <c r="H40" s="147" t="e">
        <f>+IF(Xbar_R!H14=0, NA(), (Xbar_R!H25-Xbar_R!H29)*0.667+Xbar_R!H29)</f>
        <v>#N/A</v>
      </c>
      <c r="I40" s="147">
        <f>+IF(Xbar_R!I14=0, NA(), (Xbar_R!I25-Xbar_R!I29)*0.667+Xbar_R!I29)</f>
        <v>4.5623040000000001</v>
      </c>
      <c r="J40" s="147">
        <f>+IF(Xbar_R!J14=0, NA(), (Xbar_R!J25-Xbar_R!J29)*0.667+Xbar_R!J29)</f>
        <v>4.5623040000000001</v>
      </c>
      <c r="K40" s="147">
        <f>+IF(Xbar_R!K14=0, NA(), (Xbar_R!K25-Xbar_R!K29)*0.667+Xbar_R!K29)</f>
        <v>4.5623040000000001</v>
      </c>
      <c r="L40" s="147">
        <f>+IF(Xbar_R!L14=0, NA(), (Xbar_R!L25-Xbar_R!L29)*0.667+Xbar_R!L29)</f>
        <v>4.5623040000000001</v>
      </c>
      <c r="M40" s="147">
        <f>+IF(Xbar_R!M14=0, NA(), (Xbar_R!M25-Xbar_R!M29)*0.667+Xbar_R!M29)</f>
        <v>4.5623040000000001</v>
      </c>
      <c r="N40" s="147">
        <f>+IF(Xbar_R!N14=0, NA(), (Xbar_R!N25-Xbar_R!N29)*0.667+Xbar_R!N29)</f>
        <v>4.5623040000000001</v>
      </c>
      <c r="O40" s="147">
        <f>+IF(Xbar_R!O14=0, NA(), (Xbar_R!O25-Xbar_R!O29)*0.667+Xbar_R!O29)</f>
        <v>4.5623040000000001</v>
      </c>
      <c r="P40" s="147">
        <f>+IF(Xbar_R!P14=0, NA(), (Xbar_R!P25-Xbar_R!P29)*0.667+Xbar_R!P29)</f>
        <v>4.5623040000000001</v>
      </c>
      <c r="Q40" s="147">
        <f>+IF(Xbar_R!Q14=0, NA(), (Xbar_R!Q25-Xbar_R!Q29)*0.667+Xbar_R!Q29)</f>
        <v>4.5623040000000001</v>
      </c>
      <c r="R40" s="147">
        <f>+IF(Xbar_R!R14=0, NA(), (Xbar_R!R25-Xbar_R!R29)*0.667+Xbar_R!R29)</f>
        <v>4.5623040000000001</v>
      </c>
      <c r="S40" s="147">
        <f>+IF(Xbar_R!S14=0, NA(), (Xbar_R!S25-Xbar_R!S29)*0.667+Xbar_R!S29)</f>
        <v>4.5623040000000001</v>
      </c>
      <c r="T40" s="147">
        <f>+IF(Xbar_R!T14=0, NA(), (Xbar_R!T25-Xbar_R!T29)*0.667+Xbar_R!T29)</f>
        <v>4.5623040000000001</v>
      </c>
      <c r="U40" s="147">
        <f>+IF(Xbar_R!U14=0, NA(), (Xbar_R!U25-Xbar_R!U29)*0.667+Xbar_R!U29)</f>
        <v>4.5623040000000001</v>
      </c>
      <c r="V40" s="147">
        <f>+IF(Xbar_R!V14=0, NA(), (Xbar_R!V25-Xbar_R!V29)*0.667+Xbar_R!V29)</f>
        <v>4.5623040000000001</v>
      </c>
      <c r="W40" s="147">
        <f>+IF(Xbar_R!W14=0, NA(), (Xbar_R!W25-Xbar_R!W29)*0.667+Xbar_R!W29)</f>
        <v>4.5623040000000001</v>
      </c>
      <c r="X40" s="147">
        <f>+IF(Xbar_R!X14=0, NA(), (Xbar_R!X25-Xbar_R!X29)*0.667+Xbar_R!X29)</f>
        <v>4.5623040000000001</v>
      </c>
      <c r="Y40" s="147">
        <f>+IF(Xbar_R!Y14=0, NA(), (Xbar_R!Y25-Xbar_R!Y29)*0.667+Xbar_R!Y29)</f>
        <v>4.5623040000000001</v>
      </c>
      <c r="Z40" s="147">
        <f>+IF(Xbar_R!Z14=0, NA(), (Xbar_R!Z25-Xbar_R!Z29)*0.667+Xbar_R!Z29)</f>
        <v>4.5623040000000001</v>
      </c>
      <c r="AA40" s="147">
        <f>+IF(Xbar_R!AA14=0, NA(), (Xbar_R!AA25-Xbar_R!AA29)*0.667+Xbar_R!AA29)</f>
        <v>4.5623040000000001</v>
      </c>
      <c r="AB40" s="135"/>
    </row>
    <row r="41" spans="2:28" x14ac:dyDescent="0.2">
      <c r="B41" s="147"/>
      <c r="C41" s="147">
        <f>+IF(Xbar_R!C14=0, "", (Xbar_R!C25-Xbar_R!C29)*0.667+Xbar_R!C29)</f>
        <v>4.5623040000000001</v>
      </c>
      <c r="D41" s="147">
        <f>+IF(Xbar_R!D14=0, "", (Xbar_R!D25-Xbar_R!D29)*0.667+Xbar_R!D29)</f>
        <v>4.5623040000000001</v>
      </c>
      <c r="E41" s="147">
        <f>+IF(Xbar_R!E14=0, "", (Xbar_R!E25-Xbar_R!E29)*0.667+Xbar_R!E29)</f>
        <v>4.5623040000000001</v>
      </c>
      <c r="F41" s="147">
        <f>+IF(Xbar_R!F14=0, "", (Xbar_R!F25-Xbar_R!F29)*0.667+Xbar_R!F29)</f>
        <v>4.5623040000000001</v>
      </c>
      <c r="G41" s="147">
        <f>+IF(Xbar_R!G14=0, "", (Xbar_R!G25-Xbar_R!G29)*0.667+Xbar_R!G29)</f>
        <v>4.5623040000000001</v>
      </c>
      <c r="H41" s="147" t="str">
        <f>+IF(Xbar_R!H14=0, "", (Xbar_R!H25-Xbar_R!H29)*0.667+Xbar_R!H29)</f>
        <v/>
      </c>
      <c r="I41" s="147">
        <f>+IF(Xbar_R!I14=0, "", (Xbar_R!I25-Xbar_R!I29)*0.667+Xbar_R!I29)</f>
        <v>4.5623040000000001</v>
      </c>
      <c r="J41" s="147">
        <f>+IF(Xbar_R!J14=0, "", (Xbar_R!J25-Xbar_R!J29)*0.667+Xbar_R!J29)</f>
        <v>4.5623040000000001</v>
      </c>
      <c r="K41" s="147">
        <f>+IF(Xbar_R!K14=0, "", (Xbar_R!K25-Xbar_R!K29)*0.667+Xbar_R!K29)</f>
        <v>4.5623040000000001</v>
      </c>
      <c r="L41" s="147">
        <f>+IF(Xbar_R!L14=0, "", (Xbar_R!L25-Xbar_R!L29)*0.667+Xbar_R!L29)</f>
        <v>4.5623040000000001</v>
      </c>
      <c r="M41" s="147">
        <f>+IF(Xbar_R!M14=0, "", (Xbar_R!M25-Xbar_R!M29)*0.667+Xbar_R!M29)</f>
        <v>4.5623040000000001</v>
      </c>
      <c r="N41" s="147">
        <f>+IF(Xbar_R!N14=0, "", (Xbar_R!N25-Xbar_R!N29)*0.667+Xbar_R!N29)</f>
        <v>4.5623040000000001</v>
      </c>
      <c r="O41" s="147">
        <f>+IF(Xbar_R!O14=0, "", (Xbar_R!O25-Xbar_R!O29)*0.667+Xbar_R!O29)</f>
        <v>4.5623040000000001</v>
      </c>
      <c r="P41" s="147">
        <f>+IF(Xbar_R!P14=0, "", (Xbar_R!P25-Xbar_R!P29)*0.667+Xbar_R!P29)</f>
        <v>4.5623040000000001</v>
      </c>
      <c r="Q41" s="147">
        <f>+IF(Xbar_R!Q14=0, "", (Xbar_R!Q25-Xbar_R!Q29)*0.667+Xbar_R!Q29)</f>
        <v>4.5623040000000001</v>
      </c>
      <c r="R41" s="147">
        <f>+IF(Xbar_R!R14=0, "", (Xbar_R!R25-Xbar_R!R29)*0.667+Xbar_R!R29)</f>
        <v>4.5623040000000001</v>
      </c>
      <c r="S41" s="147">
        <f>+IF(Xbar_R!S14=0, "", (Xbar_R!S25-Xbar_R!S29)*0.667+Xbar_R!S29)</f>
        <v>4.5623040000000001</v>
      </c>
      <c r="T41" s="147">
        <f>+IF(Xbar_R!T14=0, "", (Xbar_R!T25-Xbar_R!T29)*0.667+Xbar_R!T29)</f>
        <v>4.5623040000000001</v>
      </c>
      <c r="U41" s="147">
        <f>+IF(Xbar_R!U14=0, "", (Xbar_R!U25-Xbar_R!U29)*0.667+Xbar_R!U29)</f>
        <v>4.5623040000000001</v>
      </c>
      <c r="V41" s="147">
        <f>+IF(Xbar_R!V14=0, "", (Xbar_R!V25-Xbar_R!V29)*0.667+Xbar_R!V29)</f>
        <v>4.5623040000000001</v>
      </c>
      <c r="W41" s="147">
        <f>+IF(Xbar_R!W14=0, "", (Xbar_R!W25-Xbar_R!W29)*0.667+Xbar_R!W29)</f>
        <v>4.5623040000000001</v>
      </c>
      <c r="X41" s="147">
        <f>+IF(Xbar_R!X14=0, "", (Xbar_R!X25-Xbar_R!X29)*0.667+Xbar_R!X29)</f>
        <v>4.5623040000000001</v>
      </c>
      <c r="Y41" s="147">
        <f>+IF(Xbar_R!Y14=0, "", (Xbar_R!Y25-Xbar_R!Y29)*0.667+Xbar_R!Y29)</f>
        <v>4.5623040000000001</v>
      </c>
      <c r="Z41" s="147">
        <f>+IF(Xbar_R!Z14=0, "", (Xbar_R!Z25-Xbar_R!Z29)*0.667+Xbar_R!Z29)</f>
        <v>4.5623040000000001</v>
      </c>
      <c r="AA41" s="147">
        <f>+IF(Xbar_R!AA14=0, "", (Xbar_R!AA25-Xbar_R!AA29)*0.667+Xbar_R!AA29)</f>
        <v>4.5623040000000001</v>
      </c>
      <c r="AB41" s="135"/>
    </row>
    <row r="42" spans="2:28" x14ac:dyDescent="0.2">
      <c r="B42" s="147" t="s">
        <v>59</v>
      </c>
      <c r="C42" s="147">
        <f>+IF(Xbar_R!C14=0, NA(), (Xbar_R!C25-Xbar_R!C29)*0.333+Xbar_R!C29)</f>
        <v>3.589696</v>
      </c>
      <c r="D42" s="147">
        <f>+IF(Xbar_R!D14=0, NA(), (Xbar_R!D25-Xbar_R!D29)*0.333+Xbar_R!D29)</f>
        <v>3.589696</v>
      </c>
      <c r="E42" s="147">
        <f>+IF(Xbar_R!E14=0, NA(), (Xbar_R!E25-Xbar_R!E29)*0.333+Xbar_R!E29)</f>
        <v>3.589696</v>
      </c>
      <c r="F42" s="147">
        <f>+IF(Xbar_R!F14=0, NA(), (Xbar_R!F25-Xbar_R!F29)*0.333+Xbar_R!F29)</f>
        <v>3.589696</v>
      </c>
      <c r="G42" s="147">
        <f>+IF(Xbar_R!G14=0, NA(), (Xbar_R!G25-Xbar_R!G29)*0.333+Xbar_R!G29)</f>
        <v>3.589696</v>
      </c>
      <c r="H42" s="147" t="e">
        <f>+IF(Xbar_R!H14=0, NA(), (Xbar_R!H25-Xbar_R!H29)*0.333+Xbar_R!H29)</f>
        <v>#N/A</v>
      </c>
      <c r="I42" s="147">
        <f>+IF(Xbar_R!I14=0, NA(), (Xbar_R!I25-Xbar_R!I29)*0.333+Xbar_R!I29)</f>
        <v>3.589696</v>
      </c>
      <c r="J42" s="147">
        <f>+IF(Xbar_R!J14=0, NA(), (Xbar_R!J25-Xbar_R!J29)*0.333+Xbar_R!J29)</f>
        <v>3.589696</v>
      </c>
      <c r="K42" s="147">
        <f>+IF(Xbar_R!K14=0, NA(), (Xbar_R!K25-Xbar_R!K29)*0.333+Xbar_R!K29)</f>
        <v>3.589696</v>
      </c>
      <c r="L42" s="147">
        <f>+IF(Xbar_R!L14=0, NA(), (Xbar_R!L25-Xbar_R!L29)*0.333+Xbar_R!L29)</f>
        <v>3.589696</v>
      </c>
      <c r="M42" s="147">
        <f>+IF(Xbar_R!M14=0, NA(), (Xbar_R!M25-Xbar_R!M29)*0.333+Xbar_R!M29)</f>
        <v>3.589696</v>
      </c>
      <c r="N42" s="147">
        <f>+IF(Xbar_R!N14=0, NA(), (Xbar_R!N25-Xbar_R!N29)*0.333+Xbar_R!N29)</f>
        <v>3.589696</v>
      </c>
      <c r="O42" s="147">
        <f>+IF(Xbar_R!O14=0, NA(), (Xbar_R!O25-Xbar_R!O29)*0.333+Xbar_R!O29)</f>
        <v>3.589696</v>
      </c>
      <c r="P42" s="147">
        <f>+IF(Xbar_R!P14=0, NA(), (Xbar_R!P25-Xbar_R!P29)*0.333+Xbar_R!P29)</f>
        <v>3.589696</v>
      </c>
      <c r="Q42" s="147">
        <f>+IF(Xbar_R!Q14=0, NA(), (Xbar_R!Q25-Xbar_R!Q29)*0.333+Xbar_R!Q29)</f>
        <v>3.589696</v>
      </c>
      <c r="R42" s="147">
        <f>+IF(Xbar_R!R14=0, NA(), (Xbar_R!R25-Xbar_R!R29)*0.333+Xbar_R!R29)</f>
        <v>3.589696</v>
      </c>
      <c r="S42" s="147">
        <f>+IF(Xbar_R!S14=0, NA(), (Xbar_R!S25-Xbar_R!S29)*0.333+Xbar_R!S29)</f>
        <v>3.589696</v>
      </c>
      <c r="T42" s="147">
        <f>+IF(Xbar_R!T14=0, NA(), (Xbar_R!T25-Xbar_R!T29)*0.333+Xbar_R!T29)</f>
        <v>3.589696</v>
      </c>
      <c r="U42" s="147">
        <f>+IF(Xbar_R!U14=0, NA(), (Xbar_R!U25-Xbar_R!U29)*0.333+Xbar_R!U29)</f>
        <v>3.589696</v>
      </c>
      <c r="V42" s="147">
        <f>+IF(Xbar_R!V14=0, NA(), (Xbar_R!V25-Xbar_R!V29)*0.333+Xbar_R!V29)</f>
        <v>3.589696</v>
      </c>
      <c r="W42" s="147">
        <f>+IF(Xbar_R!W14=0, NA(), (Xbar_R!W25-Xbar_R!W29)*0.333+Xbar_R!W29)</f>
        <v>3.589696</v>
      </c>
      <c r="X42" s="147">
        <f>+IF(Xbar_R!X14=0, NA(), (Xbar_R!X25-Xbar_R!X29)*0.333+Xbar_R!X29)</f>
        <v>3.589696</v>
      </c>
      <c r="Y42" s="147">
        <f>+IF(Xbar_R!Y14=0, NA(), (Xbar_R!Y25-Xbar_R!Y29)*0.333+Xbar_R!Y29)</f>
        <v>3.589696</v>
      </c>
      <c r="Z42" s="147">
        <f>+IF(Xbar_R!Z14=0, NA(), (Xbar_R!Z25-Xbar_R!Z29)*0.333+Xbar_R!Z29)</f>
        <v>3.589696</v>
      </c>
      <c r="AA42" s="147">
        <f>+IF(Xbar_R!AA14=0, NA(), (Xbar_R!AA25-Xbar_R!AA29)*0.333+Xbar_R!AA29)</f>
        <v>3.589696</v>
      </c>
      <c r="AB42" s="135"/>
    </row>
    <row r="43" spans="2:28" x14ac:dyDescent="0.2">
      <c r="B43" s="147"/>
      <c r="C43" s="147">
        <f>+IF(Xbar_R!C14=0, "", (Xbar_R!C25-Xbar_R!C29)*0.333+Xbar_R!C29)</f>
        <v>3.589696</v>
      </c>
      <c r="D43" s="147">
        <f>+IF(Xbar_R!D14=0, "", (Xbar_R!D25-Xbar_R!D29)*0.333+Xbar_R!D29)</f>
        <v>3.589696</v>
      </c>
      <c r="E43" s="147">
        <f>+IF(Xbar_R!E14=0, "", (Xbar_R!E25-Xbar_R!E29)*0.333+Xbar_R!E29)</f>
        <v>3.589696</v>
      </c>
      <c r="F43" s="147">
        <f>+IF(Xbar_R!F14=0, "", (Xbar_R!F25-Xbar_R!F29)*0.333+Xbar_R!F29)</f>
        <v>3.589696</v>
      </c>
      <c r="G43" s="147">
        <f>+IF(Xbar_R!G14=0, "", (Xbar_R!G25-Xbar_R!G29)*0.333+Xbar_R!G29)</f>
        <v>3.589696</v>
      </c>
      <c r="H43" s="147" t="str">
        <f>+IF(Xbar_R!H14=0, "", (Xbar_R!H25-Xbar_R!H29)*0.333+Xbar_R!H29)</f>
        <v/>
      </c>
      <c r="I43" s="147">
        <f>+IF(Xbar_R!I14=0, "", (Xbar_R!I25-Xbar_R!I29)*0.333+Xbar_R!I29)</f>
        <v>3.589696</v>
      </c>
      <c r="J43" s="147">
        <f>+IF(Xbar_R!J14=0, "", (Xbar_R!J25-Xbar_R!J29)*0.333+Xbar_R!J29)</f>
        <v>3.589696</v>
      </c>
      <c r="K43" s="147">
        <f>+IF(Xbar_R!K14=0, "", (Xbar_R!K25-Xbar_R!K29)*0.333+Xbar_R!K29)</f>
        <v>3.589696</v>
      </c>
      <c r="L43" s="147">
        <f>+IF(Xbar_R!L14=0, "", (Xbar_R!L25-Xbar_R!L29)*0.333+Xbar_R!L29)</f>
        <v>3.589696</v>
      </c>
      <c r="M43" s="147">
        <f>+IF(Xbar_R!M14=0, "", (Xbar_R!M25-Xbar_R!M29)*0.333+Xbar_R!M29)</f>
        <v>3.589696</v>
      </c>
      <c r="N43" s="147">
        <f>+IF(Xbar_R!N14=0, "", (Xbar_R!N25-Xbar_R!N29)*0.333+Xbar_R!N29)</f>
        <v>3.589696</v>
      </c>
      <c r="O43" s="147">
        <f>+IF(Xbar_R!O14=0, "", (Xbar_R!O25-Xbar_R!O29)*0.333+Xbar_R!O29)</f>
        <v>3.589696</v>
      </c>
      <c r="P43" s="147">
        <f>+IF(Xbar_R!P14=0, "", (Xbar_R!P25-Xbar_R!P29)*0.333+Xbar_R!P29)</f>
        <v>3.589696</v>
      </c>
      <c r="Q43" s="147">
        <f>+IF(Xbar_R!Q14=0, "", (Xbar_R!Q25-Xbar_R!Q29)*0.333+Xbar_R!Q29)</f>
        <v>3.589696</v>
      </c>
      <c r="R43" s="147">
        <f>+IF(Xbar_R!R14=0, "", (Xbar_R!R25-Xbar_R!R29)*0.333+Xbar_R!R29)</f>
        <v>3.589696</v>
      </c>
      <c r="S43" s="147">
        <f>+IF(Xbar_R!S14=0, "", (Xbar_R!S25-Xbar_R!S29)*0.333+Xbar_R!S29)</f>
        <v>3.589696</v>
      </c>
      <c r="T43" s="147">
        <f>+IF(Xbar_R!T14=0, "", (Xbar_R!T25-Xbar_R!T29)*0.333+Xbar_R!T29)</f>
        <v>3.589696</v>
      </c>
      <c r="U43" s="147">
        <f>+IF(Xbar_R!U14=0, "", (Xbar_R!U25-Xbar_R!U29)*0.333+Xbar_R!U29)</f>
        <v>3.589696</v>
      </c>
      <c r="V43" s="147">
        <f>+IF(Xbar_R!V14=0, "", (Xbar_R!V25-Xbar_R!V29)*0.333+Xbar_R!V29)</f>
        <v>3.589696</v>
      </c>
      <c r="W43" s="147">
        <f>+IF(Xbar_R!W14=0, "", (Xbar_R!W25-Xbar_R!W29)*0.333+Xbar_R!W29)</f>
        <v>3.589696</v>
      </c>
      <c r="X43" s="147">
        <f>+IF(Xbar_R!X14=0, "", (Xbar_R!X25-Xbar_R!X29)*0.333+Xbar_R!X29)</f>
        <v>3.589696</v>
      </c>
      <c r="Y43" s="147">
        <f>+IF(Xbar_R!Y14=0, "", (Xbar_R!Y25-Xbar_R!Y29)*0.333+Xbar_R!Y29)</f>
        <v>3.589696</v>
      </c>
      <c r="Z43" s="147">
        <f>+IF(Xbar_R!Z14=0, "", (Xbar_R!Z25-Xbar_R!Z29)*0.333+Xbar_R!Z29)</f>
        <v>3.589696</v>
      </c>
      <c r="AA43" s="147">
        <f>+IF(Xbar_R!AA14=0, "", (Xbar_R!AA25-Xbar_R!AA29)*0.333+Xbar_R!AA29)</f>
        <v>3.589696</v>
      </c>
      <c r="AB43" s="135"/>
    </row>
    <row r="44" spans="2:28" x14ac:dyDescent="0.2">
      <c r="B44" s="156" t="s">
        <v>63</v>
      </c>
      <c r="C44" s="149"/>
      <c r="D44" s="149"/>
      <c r="E44" s="149"/>
      <c r="F44" s="149"/>
      <c r="G44" s="149"/>
      <c r="H44" s="149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35"/>
    </row>
    <row r="45" spans="2:28" x14ac:dyDescent="0.2">
      <c r="B45" s="147" t="s">
        <v>58</v>
      </c>
      <c r="C45" s="147">
        <f>+IF(Xbar_R!C14=0, NA(), Xbar_R!C29-(Xbar_R!C29-Xbar_R!C27)*0.667)</f>
        <v>0.87246000000000001</v>
      </c>
      <c r="D45" s="147">
        <f>+IF(Xbar_R!D14=0, NA(), Xbar_R!D29-(Xbar_R!D29-Xbar_R!D27)*0.667)</f>
        <v>0.87246000000000001</v>
      </c>
      <c r="E45" s="147">
        <f>+IF(Xbar_R!E14=0, NA(), Xbar_R!E29-(Xbar_R!E29-Xbar_R!E27)*0.667)</f>
        <v>0.87246000000000001</v>
      </c>
      <c r="F45" s="147">
        <f>+IF(Xbar_R!F14=0, NA(), Xbar_R!F29-(Xbar_R!F29-Xbar_R!F27)*0.667)</f>
        <v>0.87246000000000001</v>
      </c>
      <c r="G45" s="147">
        <f>+IF(Xbar_R!G14=0, NA(), Xbar_R!G29-(Xbar_R!G29-Xbar_R!G27)*0.667)</f>
        <v>0.87246000000000001</v>
      </c>
      <c r="H45" s="147" t="e">
        <f>+IF(Xbar_R!H14=0, NA(), Xbar_R!H29-(Xbar_R!H29-Xbar_R!H27)*0.667)</f>
        <v>#N/A</v>
      </c>
      <c r="I45" s="147">
        <f>+IF(Xbar_R!I14=0, NA(), Xbar_R!I29-(Xbar_R!I29-Xbar_R!I27)*0.667)</f>
        <v>0.87246000000000001</v>
      </c>
      <c r="J45" s="147">
        <f>+IF(Xbar_R!J14=0, NA(), Xbar_R!J29-(Xbar_R!J29-Xbar_R!J27)*0.667)</f>
        <v>0.87246000000000001</v>
      </c>
      <c r="K45" s="147">
        <f>+IF(Xbar_R!K14=0, NA(), Xbar_R!K29-(Xbar_R!K29-Xbar_R!K27)*0.667)</f>
        <v>0.87246000000000001</v>
      </c>
      <c r="L45" s="147">
        <f>+IF(Xbar_R!L14=0, NA(), Xbar_R!L29-(Xbar_R!L29-Xbar_R!L27)*0.667)</f>
        <v>0.87246000000000001</v>
      </c>
      <c r="M45" s="147">
        <f>+IF(Xbar_R!M14=0, NA(), Xbar_R!M29-(Xbar_R!M29-Xbar_R!M27)*0.667)</f>
        <v>0.87246000000000001</v>
      </c>
      <c r="N45" s="147">
        <f>+IF(Xbar_R!N14=0, NA(), Xbar_R!N29-(Xbar_R!N29-Xbar_R!N27)*0.667)</f>
        <v>0.87246000000000001</v>
      </c>
      <c r="O45" s="147">
        <f>+IF(Xbar_R!O14=0, NA(), Xbar_R!O29-(Xbar_R!O29-Xbar_R!O27)*0.667)</f>
        <v>0.87246000000000001</v>
      </c>
      <c r="P45" s="147">
        <f>+IF(Xbar_R!P14=0, NA(), Xbar_R!P29-(Xbar_R!P29-Xbar_R!P27)*0.667)</f>
        <v>0.87246000000000001</v>
      </c>
      <c r="Q45" s="147">
        <f>+IF(Xbar_R!Q14=0, NA(), Xbar_R!Q29-(Xbar_R!Q29-Xbar_R!Q27)*0.667)</f>
        <v>0.87246000000000001</v>
      </c>
      <c r="R45" s="147">
        <f>+IF(Xbar_R!R14=0, NA(), Xbar_R!R29-(Xbar_R!R29-Xbar_R!R27)*0.667)</f>
        <v>0.87246000000000001</v>
      </c>
      <c r="S45" s="147">
        <f>+IF(Xbar_R!S14=0, NA(), Xbar_R!S29-(Xbar_R!S29-Xbar_R!S27)*0.667)</f>
        <v>0.87246000000000001</v>
      </c>
      <c r="T45" s="147">
        <f>+IF(Xbar_R!T14=0, NA(), Xbar_R!T29-(Xbar_R!T29-Xbar_R!T27)*0.667)</f>
        <v>0.87246000000000001</v>
      </c>
      <c r="U45" s="147">
        <f>+IF(Xbar_R!U14=0, NA(), Xbar_R!U29-(Xbar_R!U29-Xbar_R!U27)*0.667)</f>
        <v>0.87246000000000001</v>
      </c>
      <c r="V45" s="147">
        <f>+IF(Xbar_R!V14=0, NA(), Xbar_R!V29-(Xbar_R!V29-Xbar_R!V27)*0.667)</f>
        <v>0.87246000000000001</v>
      </c>
      <c r="W45" s="147">
        <f>+IF(Xbar_R!W14=0, NA(), Xbar_R!W29-(Xbar_R!W29-Xbar_R!W27)*0.667)</f>
        <v>0.87246000000000001</v>
      </c>
      <c r="X45" s="147">
        <f>+IF(Xbar_R!X14=0, NA(), Xbar_R!X29-(Xbar_R!X29-Xbar_R!X27)*0.667)</f>
        <v>0.87246000000000001</v>
      </c>
      <c r="Y45" s="147">
        <f>+IF(Xbar_R!Y14=0, NA(), Xbar_R!Y29-(Xbar_R!Y29-Xbar_R!Y27)*0.667)</f>
        <v>0.87246000000000001</v>
      </c>
      <c r="Z45" s="147">
        <f>+IF(Xbar_R!Z14=0, NA(), Xbar_R!Z29-(Xbar_R!Z29-Xbar_R!Z27)*0.667)</f>
        <v>0.87246000000000001</v>
      </c>
      <c r="AA45" s="147">
        <f>+IF(Xbar_R!AA14=0, NA(), Xbar_R!AA29-(Xbar_R!AA29-Xbar_R!AA27)*0.667)</f>
        <v>0.87246000000000001</v>
      </c>
      <c r="AB45" s="135"/>
    </row>
    <row r="46" spans="2:28" x14ac:dyDescent="0.2">
      <c r="B46" s="147"/>
      <c r="C46" s="147">
        <f>+IF(Xbar_R!C14=0, "", Xbar_R!C29-(Xbar_R!C29-Xbar_R!C27)*0.667)</f>
        <v>0.87246000000000001</v>
      </c>
      <c r="D46" s="147">
        <f>+IF(Xbar_R!D14=0, "", Xbar_R!D29-(Xbar_R!D29-Xbar_R!D27)*0.667)</f>
        <v>0.87246000000000001</v>
      </c>
      <c r="E46" s="147">
        <f>+IF(Xbar_R!E14=0, "", Xbar_R!E29-(Xbar_R!E29-Xbar_R!E27)*0.667)</f>
        <v>0.87246000000000001</v>
      </c>
      <c r="F46" s="147">
        <f>+IF(Xbar_R!F14=0, "", Xbar_R!F29-(Xbar_R!F29-Xbar_R!F27)*0.667)</f>
        <v>0.87246000000000001</v>
      </c>
      <c r="G46" s="147">
        <f>+IF(Xbar_R!G14=0, "", Xbar_R!G29-(Xbar_R!G29-Xbar_R!G27)*0.667)</f>
        <v>0.87246000000000001</v>
      </c>
      <c r="H46" s="147" t="str">
        <f>+IF(Xbar_R!H14=0, "", Xbar_R!H29-(Xbar_R!H29-Xbar_R!H27)*0.667)</f>
        <v/>
      </c>
      <c r="I46" s="147">
        <f>+IF(Xbar_R!I14=0, "", Xbar_R!I29-(Xbar_R!I29-Xbar_R!I27)*0.667)</f>
        <v>0.87246000000000001</v>
      </c>
      <c r="J46" s="147">
        <f>+IF(Xbar_R!J14=0, "", Xbar_R!J29-(Xbar_R!J29-Xbar_R!J27)*0.667)</f>
        <v>0.87246000000000001</v>
      </c>
      <c r="K46" s="147">
        <f>+IF(Xbar_R!K14=0, "", Xbar_R!K29-(Xbar_R!K29-Xbar_R!K27)*0.667)</f>
        <v>0.87246000000000001</v>
      </c>
      <c r="L46" s="147">
        <f>+IF(Xbar_R!L14=0, "", Xbar_R!L29-(Xbar_R!L29-Xbar_R!L27)*0.667)</f>
        <v>0.87246000000000001</v>
      </c>
      <c r="M46" s="147">
        <f>+IF(Xbar_R!M14=0, "", Xbar_R!M29-(Xbar_R!M29-Xbar_R!M27)*0.667)</f>
        <v>0.87246000000000001</v>
      </c>
      <c r="N46" s="147">
        <f>+IF(Xbar_R!N14=0, "", Xbar_R!N29-(Xbar_R!N29-Xbar_R!N27)*0.667)</f>
        <v>0.87246000000000001</v>
      </c>
      <c r="O46" s="147">
        <f>+IF(Xbar_R!O14=0, "", Xbar_R!O29-(Xbar_R!O29-Xbar_R!O27)*0.667)</f>
        <v>0.87246000000000001</v>
      </c>
      <c r="P46" s="147">
        <f>+IF(Xbar_R!P14=0, "", Xbar_R!P29-(Xbar_R!P29-Xbar_R!P27)*0.667)</f>
        <v>0.87246000000000001</v>
      </c>
      <c r="Q46" s="147">
        <f>+IF(Xbar_R!Q14=0, "", Xbar_R!Q29-(Xbar_R!Q29-Xbar_R!Q27)*0.667)</f>
        <v>0.87246000000000001</v>
      </c>
      <c r="R46" s="147">
        <f>+IF(Xbar_R!R14=0, "", Xbar_R!R29-(Xbar_R!R29-Xbar_R!R27)*0.667)</f>
        <v>0.87246000000000001</v>
      </c>
      <c r="S46" s="147">
        <f>+IF(Xbar_R!S14=0, "", Xbar_R!S29-(Xbar_R!S29-Xbar_R!S27)*0.667)</f>
        <v>0.87246000000000001</v>
      </c>
      <c r="T46" s="147">
        <f>+IF(Xbar_R!T14=0, "", Xbar_R!T29-(Xbar_R!T29-Xbar_R!T27)*0.667)</f>
        <v>0.87246000000000001</v>
      </c>
      <c r="U46" s="147">
        <f>+IF(Xbar_R!U14=0, "", Xbar_R!U29-(Xbar_R!U29-Xbar_R!U27)*0.667)</f>
        <v>0.87246000000000001</v>
      </c>
      <c r="V46" s="147">
        <f>+IF(Xbar_R!V14=0, "", Xbar_R!V29-(Xbar_R!V29-Xbar_R!V27)*0.667)</f>
        <v>0.87246000000000001</v>
      </c>
      <c r="W46" s="147">
        <f>+IF(Xbar_R!W14=0, "", Xbar_R!W29-(Xbar_R!W29-Xbar_R!W27)*0.667)</f>
        <v>0.87246000000000001</v>
      </c>
      <c r="X46" s="147">
        <f>+IF(Xbar_R!X14=0, "", Xbar_R!X29-(Xbar_R!X29-Xbar_R!X27)*0.667)</f>
        <v>0.87246000000000001</v>
      </c>
      <c r="Y46" s="147">
        <f>+IF(Xbar_R!Y14=0, "", Xbar_R!Y29-(Xbar_R!Y29-Xbar_R!Y27)*0.667)</f>
        <v>0.87246000000000001</v>
      </c>
      <c r="Z46" s="147">
        <f>+IF(Xbar_R!Z14=0, "", Xbar_R!Z29-(Xbar_R!Z29-Xbar_R!Z27)*0.667)</f>
        <v>0.87246000000000001</v>
      </c>
      <c r="AA46" s="147">
        <f>+IF(Xbar_R!AA14=0, "", Xbar_R!AA29-(Xbar_R!AA29-Xbar_R!AA27)*0.667)</f>
        <v>0.87246000000000001</v>
      </c>
      <c r="AB46" s="135"/>
    </row>
    <row r="47" spans="2:28" x14ac:dyDescent="0.2">
      <c r="B47" s="157" t="s">
        <v>59</v>
      </c>
      <c r="C47" s="147">
        <f>+IF(Xbar_R!C14=0, NA(), Xbar_R!C29-(Xbar_R!C29-Xbar_R!C27)*0.333)</f>
        <v>1.7475399999999999</v>
      </c>
      <c r="D47" s="147">
        <f>+IF(Xbar_R!D14=0, NA(), Xbar_R!D29-(Xbar_R!D29-Xbar_R!D27)*0.333)</f>
        <v>1.7475399999999999</v>
      </c>
      <c r="E47" s="147">
        <f>+IF(Xbar_R!E14=0, NA(), Xbar_R!E29-(Xbar_R!E29-Xbar_R!E27)*0.333)</f>
        <v>1.7475399999999999</v>
      </c>
      <c r="F47" s="147">
        <f>+IF(Xbar_R!F14=0, NA(), Xbar_R!F29-(Xbar_R!F29-Xbar_R!F27)*0.333)</f>
        <v>1.7475399999999999</v>
      </c>
      <c r="G47" s="147">
        <f>+IF(Xbar_R!G14=0, NA(), Xbar_R!G29-(Xbar_R!G29-Xbar_R!G27)*0.333)</f>
        <v>1.7475399999999999</v>
      </c>
      <c r="H47" s="147" t="e">
        <f>+IF(Xbar_R!H14=0, NA(), Xbar_R!H29-(Xbar_R!H29-Xbar_R!H27)*0.333)</f>
        <v>#N/A</v>
      </c>
      <c r="I47" s="147">
        <f>+IF(Xbar_R!I14=0, NA(), Xbar_R!I29-(Xbar_R!I29-Xbar_R!I27)*0.333)</f>
        <v>1.7475399999999999</v>
      </c>
      <c r="J47" s="147">
        <f>+IF(Xbar_R!J14=0, NA(), Xbar_R!J29-(Xbar_R!J29-Xbar_R!J27)*0.333)</f>
        <v>1.7475399999999999</v>
      </c>
      <c r="K47" s="147">
        <f>+IF(Xbar_R!K14=0, NA(), Xbar_R!K29-(Xbar_R!K29-Xbar_R!K27)*0.333)</f>
        <v>1.7475399999999999</v>
      </c>
      <c r="L47" s="147">
        <f>+IF(Xbar_R!L14=0, NA(), Xbar_R!L29-(Xbar_R!L29-Xbar_R!L27)*0.333)</f>
        <v>1.7475399999999999</v>
      </c>
      <c r="M47" s="147">
        <f>+IF(Xbar_R!M14=0, NA(), Xbar_R!M29-(Xbar_R!M29-Xbar_R!M27)*0.333)</f>
        <v>1.7475399999999999</v>
      </c>
      <c r="N47" s="147">
        <f>+IF(Xbar_R!N14=0, NA(), Xbar_R!N29-(Xbar_R!N29-Xbar_R!N27)*0.333)</f>
        <v>1.7475399999999999</v>
      </c>
      <c r="O47" s="147">
        <f>+IF(Xbar_R!O14=0, NA(), Xbar_R!O29-(Xbar_R!O29-Xbar_R!O27)*0.333)</f>
        <v>1.7475399999999999</v>
      </c>
      <c r="P47" s="147">
        <f>+IF(Xbar_R!P14=0, NA(), Xbar_R!P29-(Xbar_R!P29-Xbar_R!P27)*0.333)</f>
        <v>1.7475399999999999</v>
      </c>
      <c r="Q47" s="147">
        <f>+IF(Xbar_R!Q14=0, NA(), Xbar_R!Q29-(Xbar_R!Q29-Xbar_R!Q27)*0.333)</f>
        <v>1.7475399999999999</v>
      </c>
      <c r="R47" s="147">
        <f>+IF(Xbar_R!R14=0, NA(), Xbar_R!R29-(Xbar_R!R29-Xbar_R!R27)*0.333)</f>
        <v>1.7475399999999999</v>
      </c>
      <c r="S47" s="147">
        <f>+IF(Xbar_R!S14=0, NA(), Xbar_R!S29-(Xbar_R!S29-Xbar_R!S27)*0.333)</f>
        <v>1.7475399999999999</v>
      </c>
      <c r="T47" s="147">
        <f>+IF(Xbar_R!T14=0, NA(), Xbar_R!T29-(Xbar_R!T29-Xbar_R!T27)*0.333)</f>
        <v>1.7475399999999999</v>
      </c>
      <c r="U47" s="147">
        <f>+IF(Xbar_R!U14=0, NA(), Xbar_R!U29-(Xbar_R!U29-Xbar_R!U27)*0.333)</f>
        <v>1.7475399999999999</v>
      </c>
      <c r="V47" s="147">
        <f>+IF(Xbar_R!V14=0, NA(), Xbar_R!V29-(Xbar_R!V29-Xbar_R!V27)*0.333)</f>
        <v>1.7475399999999999</v>
      </c>
      <c r="W47" s="147">
        <f>+IF(Xbar_R!W14=0, NA(), Xbar_R!W29-(Xbar_R!W29-Xbar_R!W27)*0.333)</f>
        <v>1.7475399999999999</v>
      </c>
      <c r="X47" s="147">
        <f>+IF(Xbar_R!X14=0, NA(), Xbar_R!X29-(Xbar_R!X29-Xbar_R!X27)*0.333)</f>
        <v>1.7475399999999999</v>
      </c>
      <c r="Y47" s="147">
        <f>+IF(Xbar_R!Y14=0, NA(), Xbar_R!Y29-(Xbar_R!Y29-Xbar_R!Y27)*0.333)</f>
        <v>1.7475399999999999</v>
      </c>
      <c r="Z47" s="147">
        <f>+IF(Xbar_R!Z14=0, NA(), Xbar_R!Z29-(Xbar_R!Z29-Xbar_R!Z27)*0.333)</f>
        <v>1.7475399999999999</v>
      </c>
      <c r="AA47" s="147">
        <f>+IF(Xbar_R!AA14=0, NA(), Xbar_R!AA29-(Xbar_R!AA29-Xbar_R!AA27)*0.333)</f>
        <v>1.7475399999999999</v>
      </c>
      <c r="AB47" s="135"/>
    </row>
    <row r="48" spans="2:28" x14ac:dyDescent="0.2">
      <c r="B48" s="135"/>
      <c r="C48" s="147">
        <f>+IF(Xbar_R!C14=0, "", Xbar_R!C29-(Xbar_R!C29-Xbar_R!C27)*0.333)</f>
        <v>1.7475399999999999</v>
      </c>
      <c r="D48" s="147">
        <f>+IF(Xbar_R!D14=0, "", Xbar_R!D29-(Xbar_R!D29-Xbar_R!D27)*0.333)</f>
        <v>1.7475399999999999</v>
      </c>
      <c r="E48" s="147">
        <f>+IF(Xbar_R!E14=0, "", Xbar_R!E29-(Xbar_R!E29-Xbar_R!E27)*0.333)</f>
        <v>1.7475399999999999</v>
      </c>
      <c r="F48" s="147">
        <f>+IF(Xbar_R!F14=0, "", Xbar_R!F29-(Xbar_R!F29-Xbar_R!F27)*0.333)</f>
        <v>1.7475399999999999</v>
      </c>
      <c r="G48" s="147">
        <f>+IF(Xbar_R!G14=0, "", Xbar_R!G29-(Xbar_R!G29-Xbar_R!G27)*0.333)</f>
        <v>1.7475399999999999</v>
      </c>
      <c r="H48" s="147" t="str">
        <f>+IF(Xbar_R!H14=0, "", Xbar_R!H29-(Xbar_R!H29-Xbar_R!H27)*0.333)</f>
        <v/>
      </c>
      <c r="I48" s="147">
        <f>+IF(Xbar_R!I14=0, "", Xbar_R!I29-(Xbar_R!I29-Xbar_R!I27)*0.333)</f>
        <v>1.7475399999999999</v>
      </c>
      <c r="J48" s="147">
        <f>+IF(Xbar_R!J14=0, "", Xbar_R!J29-(Xbar_R!J29-Xbar_R!J27)*0.333)</f>
        <v>1.7475399999999999</v>
      </c>
      <c r="K48" s="147">
        <f>+IF(Xbar_R!K14=0, "", Xbar_R!K29-(Xbar_R!K29-Xbar_R!K27)*0.333)</f>
        <v>1.7475399999999999</v>
      </c>
      <c r="L48" s="147">
        <f>+IF(Xbar_R!L14=0, "", Xbar_R!L29-(Xbar_R!L29-Xbar_R!L27)*0.333)</f>
        <v>1.7475399999999999</v>
      </c>
      <c r="M48" s="147">
        <f>+IF(Xbar_R!M14=0, "", Xbar_R!M29-(Xbar_R!M29-Xbar_R!M27)*0.333)</f>
        <v>1.7475399999999999</v>
      </c>
      <c r="N48" s="147">
        <f>+IF(Xbar_R!N14=0, "", Xbar_R!N29-(Xbar_R!N29-Xbar_R!N27)*0.333)</f>
        <v>1.7475399999999999</v>
      </c>
      <c r="O48" s="147">
        <f>+IF(Xbar_R!O14=0, "", Xbar_R!O29-(Xbar_R!O29-Xbar_R!O27)*0.333)</f>
        <v>1.7475399999999999</v>
      </c>
      <c r="P48" s="147">
        <f>+IF(Xbar_R!P14=0, "", Xbar_R!P29-(Xbar_R!P29-Xbar_R!P27)*0.333)</f>
        <v>1.7475399999999999</v>
      </c>
      <c r="Q48" s="147">
        <f>+IF(Xbar_R!Q14=0, "", Xbar_R!Q29-(Xbar_R!Q29-Xbar_R!Q27)*0.333)</f>
        <v>1.7475399999999999</v>
      </c>
      <c r="R48" s="147">
        <f>+IF(Xbar_R!R14=0, "", Xbar_R!R29-(Xbar_R!R29-Xbar_R!R27)*0.333)</f>
        <v>1.7475399999999999</v>
      </c>
      <c r="S48" s="147">
        <f>+IF(Xbar_R!S14=0, "", Xbar_R!S29-(Xbar_R!S29-Xbar_R!S27)*0.333)</f>
        <v>1.7475399999999999</v>
      </c>
      <c r="T48" s="147">
        <f>+IF(Xbar_R!T14=0, "", Xbar_R!T29-(Xbar_R!T29-Xbar_R!T27)*0.333)</f>
        <v>1.7475399999999999</v>
      </c>
      <c r="U48" s="147">
        <f>+IF(Xbar_R!U14=0, "", Xbar_R!U29-(Xbar_R!U29-Xbar_R!U27)*0.333)</f>
        <v>1.7475399999999999</v>
      </c>
      <c r="V48" s="147">
        <f>+IF(Xbar_R!V14=0, "", Xbar_R!V29-(Xbar_R!V29-Xbar_R!V27)*0.333)</f>
        <v>1.7475399999999999</v>
      </c>
      <c r="W48" s="147">
        <f>+IF(Xbar_R!W14=0, "", Xbar_R!W29-(Xbar_R!W29-Xbar_R!W27)*0.333)</f>
        <v>1.7475399999999999</v>
      </c>
      <c r="X48" s="147">
        <f>+IF(Xbar_R!X14=0, "", Xbar_R!X29-(Xbar_R!X29-Xbar_R!X27)*0.333)</f>
        <v>1.7475399999999999</v>
      </c>
      <c r="Y48" s="147">
        <f>+IF(Xbar_R!Y14=0, "", Xbar_R!Y29-(Xbar_R!Y29-Xbar_R!Y27)*0.333)</f>
        <v>1.7475399999999999</v>
      </c>
      <c r="Z48" s="147">
        <f>+IF(Xbar_R!Z14=0, "", Xbar_R!Z29-(Xbar_R!Z29-Xbar_R!Z27)*0.333)</f>
        <v>1.7475399999999999</v>
      </c>
      <c r="AA48" s="147">
        <f>+IF(Xbar_R!AA14=0, "", Xbar_R!AA29-(Xbar_R!AA29-Xbar_R!AA27)*0.333)</f>
        <v>1.7475399999999999</v>
      </c>
      <c r="AB48" s="135"/>
    </row>
    <row r="49" spans="2:28" x14ac:dyDescent="0.2">
      <c r="B49" s="135"/>
      <c r="C49" s="135"/>
      <c r="D49" s="135"/>
      <c r="E49" s="135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</row>
  </sheetData>
  <sheetProtection sheet="1" objects="1" scenarios="1"/>
  <phoneticPr fontId="3" type="noConversion"/>
  <pageMargins left="0.75" right="0.75" top="1" bottom="1" header="0.5" footer="0.5"/>
  <pageSetup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0</xdr:col>
                    <xdr:colOff>171450</xdr:colOff>
                    <xdr:row>1</xdr:row>
                    <xdr:rowOff>142875</xdr:rowOff>
                  </from>
                  <to>
                    <xdr:col>0</xdr:col>
                    <xdr:colOff>476250</xdr:colOff>
                    <xdr:row>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0</xdr:col>
                    <xdr:colOff>171450</xdr:colOff>
                    <xdr:row>2</xdr:row>
                    <xdr:rowOff>133350</xdr:rowOff>
                  </from>
                  <to>
                    <xdr:col>0</xdr:col>
                    <xdr:colOff>476250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0</xdr:col>
                    <xdr:colOff>171450</xdr:colOff>
                    <xdr:row>3</xdr:row>
                    <xdr:rowOff>133350</xdr:rowOff>
                  </from>
                  <to>
                    <xdr:col>0</xdr:col>
                    <xdr:colOff>476250</xdr:colOff>
                    <xdr:row>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0</xdr:col>
                    <xdr:colOff>171450</xdr:colOff>
                    <xdr:row>4</xdr:row>
                    <xdr:rowOff>133350</xdr:rowOff>
                  </from>
                  <to>
                    <xdr:col>0</xdr:col>
                    <xdr:colOff>476250</xdr:colOff>
                    <xdr:row>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8" name="Check Box 5">
              <controlPr defaultSize="0" autoFill="0" autoLine="0" autoPict="0">
                <anchor moveWithCells="1">
                  <from>
                    <xdr:col>0</xdr:col>
                    <xdr:colOff>171450</xdr:colOff>
                    <xdr:row>5</xdr:row>
                    <xdr:rowOff>133350</xdr:rowOff>
                  </from>
                  <to>
                    <xdr:col>0</xdr:col>
                    <xdr:colOff>476250</xdr:colOff>
                    <xdr:row>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BO51"/>
  <sheetViews>
    <sheetView showGridLines="0" workbookViewId="0">
      <selection activeCell="I22" sqref="I22"/>
    </sheetView>
  </sheetViews>
  <sheetFormatPr defaultRowHeight="12.75" x14ac:dyDescent="0.2"/>
  <cols>
    <col min="8" max="8" width="2" customWidth="1"/>
    <col min="9" max="9" width="10" bestFit="1" customWidth="1"/>
    <col min="10" max="10" width="5.28515625" bestFit="1" customWidth="1"/>
    <col min="11" max="11" width="10.28515625" bestFit="1" customWidth="1"/>
    <col min="12" max="12" width="6.140625" bestFit="1" customWidth="1"/>
    <col min="13" max="13" width="9.85546875" bestFit="1" customWidth="1"/>
    <col min="14" max="14" width="8.42578125" bestFit="1" customWidth="1"/>
  </cols>
  <sheetData>
    <row r="1" spans="9:14" ht="14.25" thickTop="1" thickBot="1" x14ac:dyDescent="0.25">
      <c r="I1" s="254" t="s">
        <v>67</v>
      </c>
      <c r="J1" s="255"/>
      <c r="K1" s="124" t="s">
        <v>68</v>
      </c>
      <c r="L1" s="125" t="s">
        <v>69</v>
      </c>
      <c r="M1" s="125" t="s">
        <v>70</v>
      </c>
      <c r="N1" s="126" t="s">
        <v>71</v>
      </c>
    </row>
    <row r="2" spans="9:14" x14ac:dyDescent="0.2">
      <c r="I2" s="233" t="s">
        <v>72</v>
      </c>
      <c r="J2" s="234">
        <f>+DecPlaces!G2</f>
        <v>2</v>
      </c>
      <c r="K2" s="127">
        <f>+J3</f>
        <v>4.67</v>
      </c>
      <c r="L2" s="128">
        <f>+K2+(J9/2)</f>
        <v>4.8650000000000002</v>
      </c>
      <c r="M2" s="128">
        <f>+(K2+J9)-(0.1*10^((-1)*J2))</f>
        <v>5.0589999999999993</v>
      </c>
      <c r="N2" s="138">
        <f t="array" ref="N2:N13">+FREQUENCY($C$20:$AA$24, $M$2:$M$13)</f>
        <v>30</v>
      </c>
    </row>
    <row r="3" spans="9:14" x14ac:dyDescent="0.2">
      <c r="I3" s="131" t="s">
        <v>73</v>
      </c>
      <c r="J3" s="129">
        <f>+IF(ISBLANK(J2), NA(), MIN(C20:AA24))</f>
        <v>4.67</v>
      </c>
      <c r="K3" s="131">
        <f t="shared" ref="K3:M13" si="0">+K2+$J$9</f>
        <v>5.0599999999999996</v>
      </c>
      <c r="L3" s="18">
        <f t="shared" si="0"/>
        <v>5.2549999999999999</v>
      </c>
      <c r="M3" s="18">
        <f t="shared" si="0"/>
        <v>5.448999999999999</v>
      </c>
      <c r="N3" s="129">
        <v>1</v>
      </c>
    </row>
    <row r="4" spans="9:14" x14ac:dyDescent="0.2">
      <c r="I4" s="131" t="s">
        <v>74</v>
      </c>
      <c r="J4" s="129">
        <f>+MAX(C20:AA24)</f>
        <v>8.98</v>
      </c>
      <c r="K4" s="131">
        <f t="shared" si="0"/>
        <v>5.4499999999999993</v>
      </c>
      <c r="L4" s="18">
        <f t="shared" si="0"/>
        <v>5.6449999999999996</v>
      </c>
      <c r="M4" s="18">
        <f t="shared" si="0"/>
        <v>5.8389999999999986</v>
      </c>
      <c r="N4" s="129">
        <v>14</v>
      </c>
    </row>
    <row r="5" spans="9:14" x14ac:dyDescent="0.2">
      <c r="I5" s="131" t="s">
        <v>75</v>
      </c>
      <c r="J5" s="129">
        <f>+J4-J3</f>
        <v>4.3100000000000005</v>
      </c>
      <c r="K5" s="131">
        <f t="shared" si="0"/>
        <v>5.839999999999999</v>
      </c>
      <c r="L5" s="18">
        <f t="shared" si="0"/>
        <v>6.0349999999999993</v>
      </c>
      <c r="M5" s="18">
        <f t="shared" si="0"/>
        <v>6.2289999999999983</v>
      </c>
      <c r="N5" s="129">
        <v>9</v>
      </c>
    </row>
    <row r="6" spans="9:14" x14ac:dyDescent="0.2">
      <c r="I6" s="131" t="s">
        <v>76</v>
      </c>
      <c r="J6" s="129">
        <f>125-(COUNTBLANK(C20:AA24))</f>
        <v>120</v>
      </c>
      <c r="K6" s="131">
        <f t="shared" si="0"/>
        <v>6.2299999999999986</v>
      </c>
      <c r="L6" s="18">
        <f t="shared" si="0"/>
        <v>6.4249999999999989</v>
      </c>
      <c r="M6" s="18">
        <f t="shared" si="0"/>
        <v>6.618999999999998</v>
      </c>
      <c r="N6" s="129">
        <v>0</v>
      </c>
    </row>
    <row r="7" spans="9:14" x14ac:dyDescent="0.2">
      <c r="I7" s="131" t="s">
        <v>77</v>
      </c>
      <c r="J7" s="129">
        <f>+IF(ROUND(SQRT(J6), 0)&gt;12, 12, ROUND(SQRT(J6), 0))</f>
        <v>11</v>
      </c>
      <c r="K7" s="131">
        <f t="shared" si="0"/>
        <v>6.6199999999999983</v>
      </c>
      <c r="L7" s="18">
        <f t="shared" si="0"/>
        <v>6.8149999999999986</v>
      </c>
      <c r="M7" s="18">
        <f t="shared" si="0"/>
        <v>7.0089999999999977</v>
      </c>
      <c r="N7" s="129">
        <v>21</v>
      </c>
    </row>
    <row r="8" spans="9:14" x14ac:dyDescent="0.2">
      <c r="I8" s="132" t="s">
        <v>77</v>
      </c>
      <c r="J8" s="139"/>
      <c r="K8" s="131">
        <f t="shared" si="0"/>
        <v>7.009999999999998</v>
      </c>
      <c r="L8" s="18">
        <f t="shared" si="0"/>
        <v>7.2049999999999983</v>
      </c>
      <c r="M8" s="18">
        <f t="shared" si="0"/>
        <v>7.3989999999999974</v>
      </c>
      <c r="N8" s="129">
        <v>13</v>
      </c>
    </row>
    <row r="9" spans="9:14" ht="13.5" thickBot="1" x14ac:dyDescent="0.25">
      <c r="I9" s="133" t="s">
        <v>78</v>
      </c>
      <c r="J9" s="130">
        <f>+IF(ISBLANK(J8), IF(ROUND(J5/J7, J2)=0, 1, ROUND(J5/J7, J2)), IF(ROUND(J5/J8, J2)=0, 1, ROUND(J5/J8, J2)))</f>
        <v>0.39</v>
      </c>
      <c r="K9" s="131">
        <f t="shared" si="0"/>
        <v>7.3999999999999977</v>
      </c>
      <c r="L9" s="18">
        <f t="shared" si="0"/>
        <v>7.594999999999998</v>
      </c>
      <c r="M9" s="18">
        <f t="shared" si="0"/>
        <v>7.788999999999997</v>
      </c>
      <c r="N9" s="129">
        <v>6</v>
      </c>
    </row>
    <row r="10" spans="9:14" ht="13.5" thickTop="1" x14ac:dyDescent="0.2">
      <c r="K10" s="131">
        <f t="shared" si="0"/>
        <v>7.7899999999999974</v>
      </c>
      <c r="L10" s="18">
        <f t="shared" si="0"/>
        <v>7.9849999999999977</v>
      </c>
      <c r="M10" s="18">
        <f t="shared" si="0"/>
        <v>8.1789999999999967</v>
      </c>
      <c r="N10" s="129">
        <v>22</v>
      </c>
    </row>
    <row r="11" spans="9:14" x14ac:dyDescent="0.2">
      <c r="K11" s="131">
        <f t="shared" si="0"/>
        <v>8.1799999999999979</v>
      </c>
      <c r="L11" s="18">
        <f t="shared" si="0"/>
        <v>8.3749999999999982</v>
      </c>
      <c r="M11" s="18">
        <f t="shared" si="0"/>
        <v>8.5689999999999973</v>
      </c>
      <c r="N11" s="129">
        <v>1</v>
      </c>
    </row>
    <row r="12" spans="9:14" x14ac:dyDescent="0.2">
      <c r="K12" s="131">
        <f t="shared" si="0"/>
        <v>8.5699999999999985</v>
      </c>
      <c r="L12" s="18">
        <f t="shared" si="0"/>
        <v>8.7649999999999988</v>
      </c>
      <c r="M12" s="18">
        <f t="shared" si="0"/>
        <v>8.9589999999999979</v>
      </c>
      <c r="N12" s="129">
        <v>2</v>
      </c>
    </row>
    <row r="13" spans="9:14" ht="13.5" thickBot="1" x14ac:dyDescent="0.25">
      <c r="K13" s="133">
        <f t="shared" si="0"/>
        <v>8.9599999999999991</v>
      </c>
      <c r="L13" s="134">
        <f t="shared" si="0"/>
        <v>9.1549999999999994</v>
      </c>
      <c r="M13" s="134">
        <f t="shared" si="0"/>
        <v>9.3489999999999984</v>
      </c>
      <c r="N13" s="130">
        <v>1</v>
      </c>
    </row>
    <row r="14" spans="9:14" ht="14.25" thickTop="1" thickBot="1" x14ac:dyDescent="0.25">
      <c r="L14" s="135"/>
    </row>
    <row r="15" spans="9:14" x14ac:dyDescent="0.2">
      <c r="M15" s="136" t="s">
        <v>29</v>
      </c>
      <c r="N15" s="137">
        <f>+SUM(N2:N13)</f>
        <v>120</v>
      </c>
    </row>
    <row r="20" spans="2:67" x14ac:dyDescent="0.2">
      <c r="B20" s="153"/>
      <c r="C20" s="140">
        <f>+IF(Xbar_R!C$14=0, "", IF(ISBLANK(Xbar_R!C6), "", Xbar_R!C6))</f>
        <v>8.7799999999999994</v>
      </c>
      <c r="D20" s="140">
        <f>+IF(Xbar_R!D$14=0, "", IF(ISBLANK(Xbar_R!D6), "", Xbar_R!D6))</f>
        <v>6.93</v>
      </c>
      <c r="E20" s="140">
        <f>+IF(Xbar_R!E$14=0, "", IF(ISBLANK(Xbar_R!E6), "", Xbar_R!E6))</f>
        <v>6.9599999999999991</v>
      </c>
      <c r="F20" s="140">
        <f>+IF(Xbar_R!F$14=0, "", IF(ISBLANK(Xbar_R!F6), "", Xbar_R!F6))</f>
        <v>6.7299999999999995</v>
      </c>
      <c r="G20" s="140">
        <f>+IF(Xbar_R!G$14=0, "", IF(ISBLANK(Xbar_R!G6), "", Xbar_R!G6))</f>
        <v>6.92</v>
      </c>
      <c r="H20" s="140" t="str">
        <f>+IF(Xbar_R!H$14=0, "", IF(ISBLANK(Xbar_R!H6), "", Xbar_R!H6))</f>
        <v/>
      </c>
      <c r="I20" s="140">
        <f>+IF(Xbar_R!I$14=0, "", IF(ISBLANK(Xbar_R!I6), "", Xbar_R!I6))</f>
        <v>5.0199999999999996</v>
      </c>
      <c r="J20" s="140">
        <f>+IF(Xbar_R!J$14=0, "", IF(ISBLANK(Xbar_R!J6), "", Xbar_R!J6))</f>
        <v>6.98</v>
      </c>
      <c r="K20" s="140">
        <f>+IF(Xbar_R!K$14=0, "", IF(ISBLANK(Xbar_R!K6), "", Xbar_R!K6))</f>
        <v>6.82</v>
      </c>
      <c r="L20" s="140">
        <f>+IF(Xbar_R!L$14=0, "", IF(ISBLANK(Xbar_R!L6), "", Xbar_R!L6))</f>
        <v>7.87</v>
      </c>
      <c r="M20" s="140">
        <f>+IF(Xbar_R!M$14=0, "", IF(ISBLANK(Xbar_R!M6), "", Xbar_R!M6))</f>
        <v>7.0299999999999994</v>
      </c>
      <c r="N20" s="140">
        <f>+IF(Xbar_R!N$14=0, "", IF(ISBLANK(Xbar_R!N6), "", Xbar_R!N6))</f>
        <v>7.0400000000000009</v>
      </c>
      <c r="O20" s="140">
        <f>+IF(Xbar_R!O$14=0, "", IF(ISBLANK(Xbar_R!O6), "", Xbar_R!O6))</f>
        <v>7.0200000000000005</v>
      </c>
      <c r="P20" s="140">
        <f>+IF(Xbar_R!P$14=0, "", IF(ISBLANK(Xbar_R!P6), "", Xbar_R!P6))</f>
        <v>6.91</v>
      </c>
      <c r="Q20" s="140">
        <f>+IF(Xbar_R!Q$14=0, "", IF(ISBLANK(Xbar_R!Q6), "", Xbar_R!Q6))</f>
        <v>7.13</v>
      </c>
      <c r="R20" s="140">
        <f>+IF(Xbar_R!R$14=0, "", IF(ISBLANK(Xbar_R!R6), "", Xbar_R!R6))</f>
        <v>8.06</v>
      </c>
      <c r="S20" s="140">
        <f>+IF(Xbar_R!S$14=0, "", IF(ISBLANK(Xbar_R!S6), "", Xbar_R!S6))</f>
        <v>7.01</v>
      </c>
      <c r="T20" s="140">
        <f>+IF(Xbar_R!T$14=0, "", IF(ISBLANK(Xbar_R!T6), "", Xbar_R!T6))</f>
        <v>5.92</v>
      </c>
      <c r="U20" s="140">
        <f>+IF(Xbar_R!U$14=0, "", IF(ISBLANK(Xbar_R!U6), "", Xbar_R!U6))</f>
        <v>6.9700000000000006</v>
      </c>
      <c r="V20" s="140">
        <f>+IF(Xbar_R!V$14=0, "", IF(ISBLANK(Xbar_R!V6), "", Xbar_R!V6))</f>
        <v>7.06</v>
      </c>
      <c r="W20" s="140">
        <f>+IF(Xbar_R!W$14=0, "", IF(ISBLANK(Xbar_R!W6), "", Xbar_R!W6))</f>
        <v>4.7300000000000004</v>
      </c>
      <c r="X20" s="140">
        <f>+IF(Xbar_R!X$14=0, "", IF(ISBLANK(Xbar_R!X6), "", Xbar_R!X6))</f>
        <v>7.1400000000000006</v>
      </c>
      <c r="Y20" s="140">
        <f>+IF(Xbar_R!Y$14=0, "", IF(ISBLANK(Xbar_R!Y6), "", Xbar_R!Y6))</f>
        <v>6.92</v>
      </c>
      <c r="Z20" s="140">
        <f>+IF(Xbar_R!Z$14=0, "", IF(ISBLANK(Xbar_R!Z6), "", Xbar_R!Z6))</f>
        <v>7.01</v>
      </c>
      <c r="AA20" s="140">
        <f>+IF(Xbar_R!AA$14=0, "", IF(ISBLANK(Xbar_R!AA6), "", Xbar_R!AA6))</f>
        <v>6.99</v>
      </c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</row>
    <row r="21" spans="2:67" x14ac:dyDescent="0.2">
      <c r="C21" s="140">
        <f>+IF(Xbar_R!C$14=0, "", IF(ISBLANK(Xbar_R!C7), "", Xbar_R!C7))</f>
        <v>7.9700000000000006</v>
      </c>
      <c r="D21" s="140">
        <f>+IF(Xbar_R!D$14=0, "", IF(ISBLANK(Xbar_R!D7), "", Xbar_R!D7))</f>
        <v>7.9099999999999993</v>
      </c>
      <c r="E21" s="140">
        <f>+IF(Xbar_R!E$14=0, "", IF(ISBLANK(Xbar_R!E7), "", Xbar_R!E7))</f>
        <v>8.0299999999999994</v>
      </c>
      <c r="F21" s="140">
        <f>+IF(Xbar_R!F$14=0, "", IF(ISBLANK(Xbar_R!F7), "", Xbar_R!F7))</f>
        <v>7.56</v>
      </c>
      <c r="G21" s="140">
        <f>+IF(Xbar_R!G$14=0, "", IF(ISBLANK(Xbar_R!G7), "", Xbar_R!G7))</f>
        <v>7.82</v>
      </c>
      <c r="H21" s="140" t="str">
        <f>+IF(Xbar_R!H$14=0, "", IF(ISBLANK(Xbar_R!H7), "", Xbar_R!H7))</f>
        <v/>
      </c>
      <c r="I21" s="140">
        <f>+IF(Xbar_R!I$14=0, "", IF(ISBLANK(Xbar_R!I7), "", Xbar_R!I7))</f>
        <v>6.86</v>
      </c>
      <c r="J21" s="140">
        <f>+IF(Xbar_R!J$14=0, "", IF(ISBLANK(Xbar_R!J7), "", Xbar_R!J7))</f>
        <v>4.8400000000000007</v>
      </c>
      <c r="K21" s="140">
        <f>+IF(Xbar_R!K$14=0, "", IF(ISBLANK(Xbar_R!K7), "", Xbar_R!K7))</f>
        <v>4.8599999999999994</v>
      </c>
      <c r="L21" s="140">
        <f>+IF(Xbar_R!L$14=0, "", IF(ISBLANK(Xbar_R!L7), "", Xbar_R!L7))</f>
        <v>7.88</v>
      </c>
      <c r="M21" s="140">
        <f>+IF(Xbar_R!M$14=0, "", IF(ISBLANK(Xbar_R!M7), "", Xbar_R!M7))</f>
        <v>7.65</v>
      </c>
      <c r="N21" s="140">
        <f>+IF(Xbar_R!N$14=0, "", IF(ISBLANK(Xbar_R!N7), "", Xbar_R!N7))</f>
        <v>4.7700000000000005</v>
      </c>
      <c r="O21" s="140">
        <f>+IF(Xbar_R!O$14=0, "", IF(ISBLANK(Xbar_R!O7), "", Xbar_R!O7))</f>
        <v>8.0299999999999994</v>
      </c>
      <c r="P21" s="140">
        <f>+IF(Xbar_R!P$14=0, "", IF(ISBLANK(Xbar_R!P7), "", Xbar_R!P7))</f>
        <v>5.98</v>
      </c>
      <c r="Q21" s="140">
        <f>+IF(Xbar_R!Q$14=0, "", IF(ISBLANK(Xbar_R!Q7), "", Xbar_R!Q7))</f>
        <v>7.92</v>
      </c>
      <c r="R21" s="140">
        <f>+IF(Xbar_R!R$14=0, "", IF(ISBLANK(Xbar_R!R7), "", Xbar_R!R7))</f>
        <v>7.9099999999999993</v>
      </c>
      <c r="S21" s="140">
        <f>+IF(Xbar_R!S$14=0, "", IF(ISBLANK(Xbar_R!S7), "", Xbar_R!S7))</f>
        <v>8.09</v>
      </c>
      <c r="T21" s="140">
        <f>+IF(Xbar_R!T$14=0, "", IF(ISBLANK(Xbar_R!T7), "", Xbar_R!T7))</f>
        <v>6.18</v>
      </c>
      <c r="U21" s="140">
        <f>+IF(Xbar_R!U$14=0, "", IF(ISBLANK(Xbar_R!U7), "", Xbar_R!U7))</f>
        <v>8.16</v>
      </c>
      <c r="V21" s="140">
        <f>+IF(Xbar_R!V$14=0, "", IF(ISBLANK(Xbar_R!V7), "", Xbar_R!V7))</f>
        <v>5.0199999999999996</v>
      </c>
      <c r="W21" s="140">
        <f>+IF(Xbar_R!W$14=0, "", IF(ISBLANK(Xbar_R!W7), "", Xbar_R!W7))</f>
        <v>8.01</v>
      </c>
      <c r="X21" s="140">
        <f>+IF(Xbar_R!X$14=0, "", IF(ISBLANK(Xbar_R!X7), "", Xbar_R!X7))</f>
        <v>7.9799999999999995</v>
      </c>
      <c r="Y21" s="140">
        <f>+IF(Xbar_R!Y$14=0, "", IF(ISBLANK(Xbar_R!Y7), "", Xbar_R!Y7))</f>
        <v>4.88</v>
      </c>
      <c r="Z21" s="140">
        <f>+IF(Xbar_R!Z$14=0, "", IF(ISBLANK(Xbar_R!Z7), "", Xbar_R!Z7))</f>
        <v>8.11</v>
      </c>
      <c r="AA21" s="140">
        <f>+IF(Xbar_R!AA$14=0, "", IF(ISBLANK(Xbar_R!AA7), "", Xbar_R!AA7))</f>
        <v>7.01</v>
      </c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</row>
    <row r="22" spans="2:67" x14ac:dyDescent="0.2">
      <c r="C22" s="140">
        <f>+IF(Xbar_R!C$14=0, "", IF(ISBLANK(Xbar_R!C8), "", Xbar_R!C8))</f>
        <v>5.71</v>
      </c>
      <c r="D22" s="140">
        <f>+IF(Xbar_R!D$14=0, "", IF(ISBLANK(Xbar_R!D8), "", Xbar_R!D8))</f>
        <v>5.57</v>
      </c>
      <c r="E22" s="140">
        <f>+IF(Xbar_R!E$14=0, "", IF(ISBLANK(Xbar_R!E8), "", Xbar_R!E8))</f>
        <v>5.75</v>
      </c>
      <c r="F22" s="140">
        <f>+IF(Xbar_R!F$14=0, "", IF(ISBLANK(Xbar_R!F8), "", Xbar_R!F8))</f>
        <v>8.14</v>
      </c>
      <c r="G22" s="140">
        <f>+IF(Xbar_R!G$14=0, "", IF(ISBLANK(Xbar_R!G8), "", Xbar_R!G8))</f>
        <v>8.84</v>
      </c>
      <c r="H22" s="140" t="str">
        <f>+IF(Xbar_R!H$14=0, "", IF(ISBLANK(Xbar_R!H8), "", Xbar_R!H8))</f>
        <v/>
      </c>
      <c r="I22" s="140">
        <f>+IF(Xbar_R!I$14=0, "", IF(ISBLANK(Xbar_R!I8), "", Xbar_R!I8))</f>
        <v>7</v>
      </c>
      <c r="J22" s="140">
        <f>+IF(Xbar_R!J$14=0, "", IF(ISBLANK(Xbar_R!J8), "", Xbar_R!J8))</f>
        <v>5.81</v>
      </c>
      <c r="K22" s="140">
        <f>+IF(Xbar_R!K$14=0, "", IF(ISBLANK(Xbar_R!K8), "", Xbar_R!K8))</f>
        <v>5.8</v>
      </c>
      <c r="L22" s="140">
        <f>+IF(Xbar_R!L$14=0, "", IF(ISBLANK(Xbar_R!L8), "", Xbar_R!L8))</f>
        <v>6.73</v>
      </c>
      <c r="M22" s="140">
        <f>+IF(Xbar_R!M$14=0, "", IF(ISBLANK(Xbar_R!M8), "", Xbar_R!M8))</f>
        <v>6.77</v>
      </c>
      <c r="N22" s="140">
        <f>+IF(Xbar_R!N$14=0, "", IF(ISBLANK(Xbar_R!N8), "", Xbar_R!N8))</f>
        <v>5.83</v>
      </c>
      <c r="O22" s="140">
        <f>+IF(Xbar_R!O$14=0, "", IF(ISBLANK(Xbar_R!O8), "", Xbar_R!O8))</f>
        <v>5.75</v>
      </c>
      <c r="P22" s="140">
        <f>+IF(Xbar_R!P$14=0, "", IF(ISBLANK(Xbar_R!P8), "", Xbar_R!P8))</f>
        <v>6.85</v>
      </c>
      <c r="Q22" s="140">
        <f>+IF(Xbar_R!Q$14=0, "", IF(ISBLANK(Xbar_R!Q8), "", Xbar_R!Q8))</f>
        <v>5.7</v>
      </c>
      <c r="R22" s="140">
        <f>+IF(Xbar_R!R$14=0, "", IF(ISBLANK(Xbar_R!R8), "", Xbar_R!R8))</f>
        <v>7.71</v>
      </c>
      <c r="S22" s="140">
        <f>+IF(Xbar_R!S$14=0, "", IF(ISBLANK(Xbar_R!S8), "", Xbar_R!S8))</f>
        <v>5.7400000000000011</v>
      </c>
      <c r="T22" s="140">
        <f>+IF(Xbar_R!T$14=0, "", IF(ISBLANK(Xbar_R!T8), "", Xbar_R!T8))</f>
        <v>5.71</v>
      </c>
      <c r="U22" s="140">
        <f>+IF(Xbar_R!U$14=0, "", IF(ISBLANK(Xbar_R!U8), "", Xbar_R!U8))</f>
        <v>5.71</v>
      </c>
      <c r="V22" s="140">
        <f>+IF(Xbar_R!V$14=0, "", IF(ISBLANK(Xbar_R!V8), "", Xbar_R!V8))</f>
        <v>5.8400000000000007</v>
      </c>
      <c r="W22" s="140">
        <f>+IF(Xbar_R!W$14=0, "", IF(ISBLANK(Xbar_R!W8), "", Xbar_R!W8))</f>
        <v>5.7700000000000005</v>
      </c>
      <c r="X22" s="140">
        <f>+IF(Xbar_R!X$14=0, "", IF(ISBLANK(Xbar_R!X8), "", Xbar_R!X8))</f>
        <v>6.65</v>
      </c>
      <c r="Y22" s="140">
        <f>+IF(Xbar_R!Y$14=0, "", IF(ISBLANK(Xbar_R!Y8), "", Xbar_R!Y8))</f>
        <v>5.56</v>
      </c>
      <c r="Z22" s="140">
        <f>+IF(Xbar_R!Z$14=0, "", IF(ISBLANK(Xbar_R!Z8), "", Xbar_R!Z8))</f>
        <v>5.76</v>
      </c>
      <c r="AA22" s="140">
        <f>+IF(Xbar_R!AA$14=0, "", IF(ISBLANK(Xbar_R!AA8), "", Xbar_R!AA8))</f>
        <v>6.73</v>
      </c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</row>
    <row r="23" spans="2:67" x14ac:dyDescent="0.2">
      <c r="C23" s="140">
        <f>+IF(Xbar_R!C$14=0, "", IF(ISBLANK(Xbar_R!C9), "", Xbar_R!C9))</f>
        <v>6.1</v>
      </c>
      <c r="D23" s="140">
        <f>+IF(Xbar_R!D$14=0, "", IF(ISBLANK(Xbar_R!D9), "", Xbar_R!D9))</f>
        <v>5.0200000000000005</v>
      </c>
      <c r="E23" s="140">
        <f>+IF(Xbar_R!E$14=0, "", IF(ISBLANK(Xbar_R!E9), "", Xbar_R!E9))</f>
        <v>8.98</v>
      </c>
      <c r="F23" s="140">
        <f>+IF(Xbar_R!F$14=0, "", IF(ISBLANK(Xbar_R!F9), "", Xbar_R!F9))</f>
        <v>4.9799999999999995</v>
      </c>
      <c r="G23" s="140">
        <f>+IF(Xbar_R!G$14=0, "", IF(ISBLANK(Xbar_R!G9), "", Xbar_R!G9))</f>
        <v>7.09</v>
      </c>
      <c r="H23" s="140" t="str">
        <f>+IF(Xbar_R!H$14=0, "", IF(ISBLANK(Xbar_R!H9), "", Xbar_R!H9))</f>
        <v/>
      </c>
      <c r="I23" s="140">
        <f>+IF(Xbar_R!I$14=0, "", IF(ISBLANK(Xbar_R!I9), "", Xbar_R!I9))</f>
        <v>7.61</v>
      </c>
      <c r="J23" s="140">
        <f>+IF(Xbar_R!J$14=0, "", IF(ISBLANK(Xbar_R!J9), "", Xbar_R!J9))</f>
        <v>5.0200000000000005</v>
      </c>
      <c r="K23" s="140">
        <f>+IF(Xbar_R!K$14=0, "", IF(ISBLANK(Xbar_R!K9), "", Xbar_R!K9))</f>
        <v>5.01</v>
      </c>
      <c r="L23" s="140">
        <f>+IF(Xbar_R!L$14=0, "", IF(ISBLANK(Xbar_R!L9), "", Xbar_R!L9))</f>
        <v>7.05</v>
      </c>
      <c r="M23" s="140">
        <f>+IF(Xbar_R!M$14=0, "", IF(ISBLANK(Xbar_R!M9), "", Xbar_R!M9))</f>
        <v>7.01</v>
      </c>
      <c r="N23" s="140">
        <f>+IF(Xbar_R!N$14=0, "", IF(ISBLANK(Xbar_R!N9), "", Xbar_R!N9))</f>
        <v>4.9799999999999995</v>
      </c>
      <c r="O23" s="140">
        <f>+IF(Xbar_R!O$14=0, "", IF(ISBLANK(Xbar_R!O9), "", Xbar_R!O9))</f>
        <v>4.88</v>
      </c>
      <c r="P23" s="140">
        <f>+IF(Xbar_R!P$14=0, "", IF(ISBLANK(Xbar_R!P9), "", Xbar_R!P9))</f>
        <v>5.0599999999999996</v>
      </c>
      <c r="Q23" s="140">
        <f>+IF(Xbar_R!Q$14=0, "", IF(ISBLANK(Xbar_R!Q9), "", Xbar_R!Q9))</f>
        <v>5.05</v>
      </c>
      <c r="R23" s="140">
        <f>+IF(Xbar_R!R$14=0, "", IF(ISBLANK(Xbar_R!R9), "", Xbar_R!R9))</f>
        <v>6.98</v>
      </c>
      <c r="S23" s="140">
        <f>+IF(Xbar_R!S$14=0, "", IF(ISBLANK(Xbar_R!S9), "", Xbar_R!S9))</f>
        <v>5.0299999999999994</v>
      </c>
      <c r="T23" s="140">
        <f>+IF(Xbar_R!T$14=0, "", IF(ISBLANK(Xbar_R!T9), "", Xbar_R!T9))</f>
        <v>5.0299999999999994</v>
      </c>
      <c r="U23" s="140">
        <f>+IF(Xbar_R!U$14=0, "", IF(ISBLANK(Xbar_R!U9), "", Xbar_R!U9))</f>
        <v>4.83</v>
      </c>
      <c r="V23" s="140">
        <f>+IF(Xbar_R!V$14=0, "", IF(ISBLANK(Xbar_R!V9), "", Xbar_R!V9))</f>
        <v>8.0500000000000007</v>
      </c>
      <c r="W23" s="140">
        <f>+IF(Xbar_R!W$14=0, "", IF(ISBLANK(Xbar_R!W9), "", Xbar_R!W9))</f>
        <v>4.95</v>
      </c>
      <c r="X23" s="140">
        <f>+IF(Xbar_R!X$14=0, "", IF(ISBLANK(Xbar_R!X9), "", Xbar_R!X9))</f>
        <v>6.01</v>
      </c>
      <c r="Y23" s="140">
        <f>+IF(Xbar_R!Y$14=0, "", IF(ISBLANK(Xbar_R!Y9), "", Xbar_R!Y9))</f>
        <v>5.01</v>
      </c>
      <c r="Z23" s="140">
        <f>+IF(Xbar_R!Z$14=0, "", IF(ISBLANK(Xbar_R!Z9), "", Xbar_R!Z9))</f>
        <v>4.9799999999999995</v>
      </c>
      <c r="AA23" s="140">
        <f>+IF(Xbar_R!AA$14=0, "", IF(ISBLANK(Xbar_R!AA9), "", Xbar_R!AA9))</f>
        <v>7.04</v>
      </c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</row>
    <row r="24" spans="2:67" x14ac:dyDescent="0.2">
      <c r="C24" s="140">
        <f>+IF(Xbar_R!C$14=0, "", IF(ISBLANK(Xbar_R!C10), "", Xbar_R!C10))</f>
        <v>6.82</v>
      </c>
      <c r="D24" s="140">
        <f>+IF(Xbar_R!D$14=0, "", IF(ISBLANK(Xbar_R!D10), "", Xbar_R!D10))</f>
        <v>4.93</v>
      </c>
      <c r="E24" s="140">
        <f>+IF(Xbar_R!E$14=0, "", IF(ISBLANK(Xbar_R!E10), "", Xbar_R!E10))</f>
        <v>4.67</v>
      </c>
      <c r="F24" s="140">
        <f>+IF(Xbar_R!F$14=0, "", IF(ISBLANK(Xbar_R!F10), "", Xbar_R!F10))</f>
        <v>4.7700000000000005</v>
      </c>
      <c r="G24" s="140">
        <f>+IF(Xbar_R!G$14=0, "", IF(ISBLANK(Xbar_R!G10), "", Xbar_R!G10))</f>
        <v>8.01</v>
      </c>
      <c r="H24" s="140" t="str">
        <f>+IF(Xbar_R!H$14=0, "", IF(ISBLANK(Xbar_R!H10), "", Xbar_R!H10))</f>
        <v/>
      </c>
      <c r="I24" s="140">
        <f>+IF(Xbar_R!I$14=0, "", IF(ISBLANK(Xbar_R!I10), "", Xbar_R!I10))</f>
        <v>6.06</v>
      </c>
      <c r="J24" s="140">
        <f>+IF(Xbar_R!J$14=0, "", IF(ISBLANK(Xbar_R!J10), "", Xbar_R!J10))</f>
        <v>6.9</v>
      </c>
      <c r="K24" s="140">
        <f>+IF(Xbar_R!K$14=0, "", IF(ISBLANK(Xbar_R!K10), "", Xbar_R!K10))</f>
        <v>7.9700000000000006</v>
      </c>
      <c r="L24" s="140">
        <f>+IF(Xbar_R!L$14=0, "", IF(ISBLANK(Xbar_R!L10), "", Xbar_R!L10))</f>
        <v>7.85</v>
      </c>
      <c r="M24" s="140">
        <f>+IF(Xbar_R!M$14=0, "", IF(ISBLANK(Xbar_R!M10), "", Xbar_R!M10))</f>
        <v>8.0500000000000007</v>
      </c>
      <c r="N24" s="140">
        <f>+IF(Xbar_R!N$14=0, "", IF(ISBLANK(Xbar_R!N10), "", Xbar_R!N10))</f>
        <v>8.18</v>
      </c>
      <c r="O24" s="140">
        <f>+IF(Xbar_R!O$14=0, "", IF(ISBLANK(Xbar_R!O10), "", Xbar_R!O10))</f>
        <v>4.8099999999999996</v>
      </c>
      <c r="P24" s="140">
        <f>+IF(Xbar_R!P$14=0, "", IF(ISBLANK(Xbar_R!P10), "", Xbar_R!P10))</f>
        <v>6.07</v>
      </c>
      <c r="Q24" s="140">
        <f>+IF(Xbar_R!Q$14=0, "", IF(ISBLANK(Xbar_R!Q10), "", Xbar_R!Q10))</f>
        <v>4.8599999999999994</v>
      </c>
      <c r="R24" s="140">
        <f>+IF(Xbar_R!R$14=0, "", IF(ISBLANK(Xbar_R!R10), "", Xbar_R!R10))</f>
        <v>7.72</v>
      </c>
      <c r="S24" s="140">
        <f>+IF(Xbar_R!S$14=0, "", IF(ISBLANK(Xbar_R!S10), "", Xbar_R!S10))</f>
        <v>4.8</v>
      </c>
      <c r="T24" s="140">
        <f>+IF(Xbar_R!T$14=0, "", IF(ISBLANK(Xbar_R!T10), "", Xbar_R!T10))</f>
        <v>4.7799999999999994</v>
      </c>
      <c r="U24" s="140">
        <f>+IF(Xbar_R!U$14=0, "", IF(ISBLANK(Xbar_R!U10), "", Xbar_R!U10))</f>
        <v>5.04</v>
      </c>
      <c r="V24" s="140">
        <f>+IF(Xbar_R!V$14=0, "", IF(ISBLANK(Xbar_R!V10), "", Xbar_R!V10))</f>
        <v>4.7799999999999994</v>
      </c>
      <c r="W24" s="140">
        <f>+IF(Xbar_R!W$14=0, "", IF(ISBLANK(Xbar_R!W10), "", Xbar_R!W10))</f>
        <v>6.76</v>
      </c>
      <c r="X24" s="140">
        <f>+IF(Xbar_R!X$14=0, "", IF(ISBLANK(Xbar_R!X10), "", Xbar_R!X10))</f>
        <v>5.87</v>
      </c>
      <c r="Y24" s="140">
        <f>+IF(Xbar_R!Y$14=0, "", IF(ISBLANK(Xbar_R!Y10), "", Xbar_R!Y10))</f>
        <v>7.94</v>
      </c>
      <c r="Z24" s="140">
        <f>+IF(Xbar_R!Z$14=0, "", IF(ISBLANK(Xbar_R!Z10), "", Xbar_R!Z10))</f>
        <v>4.67</v>
      </c>
      <c r="AA24" s="140">
        <f>+IF(Xbar_R!AA$14=0, "", IF(ISBLANK(Xbar_R!AA10), "", Xbar_R!AA10))</f>
        <v>7.78</v>
      </c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</row>
    <row r="25" spans="2:67" x14ac:dyDescent="0.2"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</row>
    <row r="26" spans="2:67" x14ac:dyDescent="0.2"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</row>
    <row r="27" spans="2:67" x14ac:dyDescent="0.2">
      <c r="C27" s="204"/>
      <c r="D27" s="204"/>
      <c r="E27" s="204"/>
      <c r="F27" s="204"/>
      <c r="G27" s="204"/>
      <c r="H27" s="204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</row>
    <row r="28" spans="2:67" x14ac:dyDescent="0.2"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</row>
    <row r="29" spans="2:67" x14ac:dyDescent="0.2">
      <c r="C29" s="204"/>
      <c r="D29" s="204"/>
      <c r="E29" s="204"/>
      <c r="F29" s="204"/>
      <c r="G29" s="204"/>
      <c r="H29" s="204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</row>
    <row r="30" spans="2:67" x14ac:dyDescent="0.2"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</row>
    <row r="31" spans="2:67" x14ac:dyDescent="0.2"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</row>
    <row r="32" spans="2:67" x14ac:dyDescent="0.2"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</row>
    <row r="33" spans="3:27" x14ac:dyDescent="0.2"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</row>
    <row r="34" spans="3:27" x14ac:dyDescent="0.2">
      <c r="C34" s="152"/>
      <c r="D34" s="152"/>
      <c r="E34" s="152"/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</row>
    <row r="35" spans="3:27" x14ac:dyDescent="0.2">
      <c r="C35" s="152"/>
      <c r="D35" s="152"/>
      <c r="E35" s="152"/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</row>
    <row r="36" spans="3:27" x14ac:dyDescent="0.2">
      <c r="C36" s="152"/>
      <c r="D36" s="152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</row>
    <row r="37" spans="3:27" x14ac:dyDescent="0.2">
      <c r="C37" s="152"/>
      <c r="D37" s="152"/>
      <c r="E37" s="152"/>
      <c r="F37" s="152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</row>
    <row r="38" spans="3:27" x14ac:dyDescent="0.2">
      <c r="C38" s="152"/>
      <c r="D38" s="152"/>
      <c r="E38" s="152"/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</row>
    <row r="39" spans="3:27" x14ac:dyDescent="0.2">
      <c r="C39" s="152"/>
      <c r="D39" s="152"/>
      <c r="E39" s="152"/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</row>
    <row r="40" spans="3:27" x14ac:dyDescent="0.2">
      <c r="C40" s="152"/>
      <c r="D40" s="152"/>
      <c r="E40" s="152"/>
      <c r="F40" s="152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</row>
    <row r="41" spans="3:27" x14ac:dyDescent="0.2">
      <c r="C41" s="152"/>
      <c r="D41" s="152"/>
      <c r="E41" s="152"/>
      <c r="F41" s="152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</row>
    <row r="42" spans="3:27" x14ac:dyDescent="0.2">
      <c r="C42" s="152"/>
      <c r="D42" s="152"/>
      <c r="E42" s="152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</row>
    <row r="43" spans="3:27" x14ac:dyDescent="0.2">
      <c r="C43" s="152"/>
      <c r="D43" s="152"/>
      <c r="E43" s="152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</row>
    <row r="44" spans="3:27" x14ac:dyDescent="0.2"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</row>
    <row r="45" spans="3:27" x14ac:dyDescent="0.2">
      <c r="C45" s="152"/>
      <c r="D45" s="152"/>
      <c r="E45" s="152"/>
      <c r="F45" s="152"/>
      <c r="G45" s="152"/>
      <c r="H45" s="152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</row>
    <row r="46" spans="3:27" x14ac:dyDescent="0.2">
      <c r="C46" s="152"/>
      <c r="D46" s="152"/>
      <c r="E46" s="152"/>
      <c r="F46" s="152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</row>
    <row r="47" spans="3:27" x14ac:dyDescent="0.2"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</row>
    <row r="48" spans="3:27" x14ac:dyDescent="0.2"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</row>
    <row r="49" spans="3:27" x14ac:dyDescent="0.2">
      <c r="C49" s="152"/>
      <c r="D49" s="152"/>
      <c r="E49" s="152"/>
      <c r="F49" s="152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</row>
    <row r="50" spans="3:27" x14ac:dyDescent="0.2">
      <c r="C50" s="152"/>
      <c r="D50" s="152"/>
      <c r="E50" s="152"/>
      <c r="F50" s="152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</row>
    <row r="51" spans="3:27" x14ac:dyDescent="0.2"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</row>
  </sheetData>
  <sheetProtection sheet="1" objects="1" scenarios="1"/>
  <mergeCells count="1">
    <mergeCell ref="I1:J1"/>
  </mergeCells>
  <phoneticPr fontId="3" type="noConversion"/>
  <pageMargins left="0.75" right="0.75" top="1" bottom="1" header="0.5" footer="0.5"/>
  <pageSetup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showGridLines="0" workbookViewId="0">
      <selection activeCell="E22" sqref="D22:E22"/>
    </sheetView>
  </sheetViews>
  <sheetFormatPr defaultRowHeight="12.75" x14ac:dyDescent="0.2"/>
  <cols>
    <col min="1" max="1" width="10.7109375" customWidth="1"/>
    <col min="2" max="2" width="9.5703125" customWidth="1"/>
    <col min="4" max="4" width="9.28515625" customWidth="1"/>
    <col min="5" max="5" width="2.85546875" customWidth="1"/>
    <col min="6" max="6" width="9.28515625" customWidth="1"/>
    <col min="7" max="7" width="6.140625" customWidth="1"/>
    <col min="8" max="10" width="5.28515625" customWidth="1"/>
    <col min="11" max="13" width="6.140625" customWidth="1"/>
    <col min="14" max="14" width="5.28515625" customWidth="1"/>
    <col min="15" max="15" width="5.7109375" customWidth="1"/>
    <col min="16" max="17" width="7.5703125" customWidth="1"/>
  </cols>
  <sheetData>
    <row r="1" spans="1:17" x14ac:dyDescent="0.2">
      <c r="A1" s="38"/>
      <c r="B1" s="20" t="s">
        <v>30</v>
      </c>
      <c r="C1" s="39"/>
      <c r="D1" s="21"/>
      <c r="F1" s="85" t="s">
        <v>31</v>
      </c>
      <c r="G1" s="34"/>
      <c r="H1" s="34"/>
      <c r="I1" s="86"/>
      <c r="J1" s="123"/>
    </row>
    <row r="2" spans="1:17" ht="15.75" x14ac:dyDescent="0.3">
      <c r="A2" s="40"/>
      <c r="B2" s="56" t="str">
        <f>CONCATENATE(B3,  " ± ", B4)</f>
        <v>6 ± 2</v>
      </c>
      <c r="C2" s="51"/>
      <c r="D2" s="48"/>
      <c r="F2" s="122" t="s">
        <v>32</v>
      </c>
      <c r="G2" s="84" t="s">
        <v>83</v>
      </c>
      <c r="H2" s="84" t="s">
        <v>84</v>
      </c>
      <c r="I2" s="84" t="s">
        <v>85</v>
      </c>
      <c r="J2" s="84" t="s">
        <v>86</v>
      </c>
      <c r="O2" s="36"/>
      <c r="P2" s="35"/>
      <c r="Q2" s="35"/>
    </row>
    <row r="3" spans="1:17" x14ac:dyDescent="0.2">
      <c r="A3" s="40" t="s">
        <v>6</v>
      </c>
      <c r="B3" s="31">
        <f>IF(ISBLANK(Xbar_R!I2), NA(), Xbar_R!I2)</f>
        <v>6</v>
      </c>
      <c r="C3" s="52" t="s">
        <v>33</v>
      </c>
      <c r="D3" s="54">
        <f>+B3-B4</f>
        <v>4</v>
      </c>
      <c r="F3" s="18">
        <v>2</v>
      </c>
      <c r="G3" s="18">
        <v>1.1279999999999999</v>
      </c>
      <c r="H3" s="18">
        <v>1.88</v>
      </c>
      <c r="I3" s="18">
        <v>0</v>
      </c>
      <c r="J3" s="18">
        <v>3.2669999999999999</v>
      </c>
      <c r="O3" s="36"/>
      <c r="P3" s="35"/>
      <c r="Q3" s="35"/>
    </row>
    <row r="4" spans="1:17" x14ac:dyDescent="0.2">
      <c r="A4" s="41" t="s">
        <v>34</v>
      </c>
      <c r="B4" s="32">
        <f>IF(ISBLANK(Xbar_R!K2), NA(), Xbar_R!K2)</f>
        <v>2</v>
      </c>
      <c r="C4" s="53" t="s">
        <v>35</v>
      </c>
      <c r="D4" s="55">
        <f>+B3+B4</f>
        <v>8</v>
      </c>
      <c r="F4" s="18">
        <v>3</v>
      </c>
      <c r="G4" s="18">
        <v>1.6930000000000001</v>
      </c>
      <c r="H4" s="18">
        <v>1.0229999999999999</v>
      </c>
      <c r="I4" s="18">
        <v>0</v>
      </c>
      <c r="J4" s="18">
        <v>2.5750000000000002</v>
      </c>
      <c r="O4" s="36"/>
      <c r="P4" s="35"/>
      <c r="Q4" s="35"/>
    </row>
    <row r="5" spans="1:17" x14ac:dyDescent="0.2">
      <c r="A5" s="1"/>
      <c r="B5" s="19" t="s">
        <v>36</v>
      </c>
      <c r="C5" s="5"/>
      <c r="D5" s="4"/>
      <c r="F5" s="18">
        <v>4</v>
      </c>
      <c r="G5" s="18">
        <v>2.0590000000000002</v>
      </c>
      <c r="H5" s="18">
        <v>0.72899999999999998</v>
      </c>
      <c r="I5" s="18">
        <v>0</v>
      </c>
      <c r="J5" s="18">
        <v>2.282</v>
      </c>
      <c r="O5" s="36"/>
      <c r="P5" s="35"/>
      <c r="Q5" s="35"/>
    </row>
    <row r="6" spans="1:17" ht="15.75" x14ac:dyDescent="0.3">
      <c r="A6" s="1" t="s">
        <v>88</v>
      </c>
      <c r="B6" s="5"/>
      <c r="C6" s="5"/>
      <c r="D6" s="4"/>
      <c r="F6" s="18">
        <v>5</v>
      </c>
      <c r="G6" s="18">
        <v>2.3260000000000001</v>
      </c>
      <c r="H6" s="18">
        <v>0.57699999999999996</v>
      </c>
      <c r="I6" s="18">
        <v>0</v>
      </c>
      <c r="J6" s="18">
        <v>2.1150000000000002</v>
      </c>
      <c r="O6" s="36"/>
      <c r="P6" s="35"/>
      <c r="Q6" s="35"/>
    </row>
    <row r="7" spans="1:17" ht="15.75" x14ac:dyDescent="0.3">
      <c r="A7" s="42" t="s">
        <v>89</v>
      </c>
      <c r="B7" s="2"/>
      <c r="C7" s="2"/>
      <c r="D7" s="3"/>
      <c r="F7" s="18">
        <v>6</v>
      </c>
      <c r="G7" s="18">
        <v>2.5339999999999998</v>
      </c>
      <c r="H7" s="18">
        <v>0.48299999999999998</v>
      </c>
      <c r="I7" s="18">
        <v>0</v>
      </c>
      <c r="J7" s="18">
        <v>2.004</v>
      </c>
    </row>
    <row r="8" spans="1:17" x14ac:dyDescent="0.2">
      <c r="A8" s="1"/>
      <c r="B8" s="43" t="s">
        <v>87</v>
      </c>
      <c r="C8" s="5"/>
      <c r="D8" s="4"/>
      <c r="F8" s="18">
        <v>7</v>
      </c>
      <c r="G8" s="18">
        <v>2.7040000000000002</v>
      </c>
      <c r="H8" s="18">
        <v>0.41899999999999998</v>
      </c>
      <c r="I8" s="18">
        <v>7.5999999999999998E-2</v>
      </c>
      <c r="J8" s="18">
        <v>1.9239999999999999</v>
      </c>
    </row>
    <row r="9" spans="1:17" ht="15.75" x14ac:dyDescent="0.3">
      <c r="A9" s="1" t="s">
        <v>90</v>
      </c>
      <c r="B9" s="5"/>
      <c r="C9" s="5"/>
      <c r="D9" s="4"/>
      <c r="F9" s="18">
        <v>8</v>
      </c>
      <c r="G9" s="18">
        <v>2.847</v>
      </c>
      <c r="H9" s="18">
        <v>0.373</v>
      </c>
      <c r="I9" s="18">
        <v>0.13600000000000001</v>
      </c>
      <c r="J9" s="18">
        <v>1.8640000000000001</v>
      </c>
    </row>
    <row r="10" spans="1:17" ht="15.75" x14ac:dyDescent="0.3">
      <c r="A10" s="42" t="s">
        <v>91</v>
      </c>
      <c r="B10" s="2"/>
      <c r="C10" s="2"/>
      <c r="D10" s="3"/>
      <c r="F10" s="18">
        <v>9</v>
      </c>
      <c r="G10" s="18">
        <v>2.97</v>
      </c>
      <c r="H10" s="18">
        <v>0.33700000000000002</v>
      </c>
      <c r="I10" s="18">
        <v>0.184</v>
      </c>
      <c r="J10" s="18">
        <v>1.8160000000000001</v>
      </c>
    </row>
    <row r="11" spans="1:17" ht="15.75" x14ac:dyDescent="0.3">
      <c r="A11" s="42" t="s">
        <v>92</v>
      </c>
      <c r="B11" s="2"/>
      <c r="C11" s="2"/>
      <c r="D11" s="3"/>
      <c r="F11" s="18">
        <v>10</v>
      </c>
      <c r="G11" s="18">
        <v>3.0779999999999998</v>
      </c>
      <c r="H11" s="18">
        <v>0.308</v>
      </c>
      <c r="I11" s="18">
        <v>0.223</v>
      </c>
      <c r="J11" s="18">
        <v>1.7769999999999999</v>
      </c>
    </row>
    <row r="12" spans="1:17" x14ac:dyDescent="0.2">
      <c r="A12" s="5"/>
      <c r="B12" s="5"/>
    </row>
    <row r="13" spans="1:17" x14ac:dyDescent="0.2">
      <c r="A13" s="198" t="s">
        <v>96</v>
      </c>
      <c r="B13" s="199">
        <f>+IF(ISBLANK(Xbar_R!I1), 5-COUNTBLANK(Xbar_R!C6:'Xbar_R'!C10), Xbar_R!I1)</f>
        <v>5</v>
      </c>
    </row>
    <row r="14" spans="1:17" x14ac:dyDescent="0.2">
      <c r="A14" s="19" t="s">
        <v>37</v>
      </c>
      <c r="B14" s="5"/>
      <c r="C14" s="69" t="str">
        <f>+IF(OR(ISBLANK(Xbar_R!D2), ISBLANK(Xbar_R!D3)), "No", "Yes")</f>
        <v>No</v>
      </c>
      <c r="D14" s="5"/>
      <c r="E14" s="5"/>
      <c r="F14" s="5"/>
      <c r="G14" s="5"/>
      <c r="H14" s="5"/>
      <c r="I14" s="5"/>
    </row>
    <row r="15" spans="1:17" x14ac:dyDescent="0.2">
      <c r="A15" s="59" t="s">
        <v>38</v>
      </c>
      <c r="B15" s="60"/>
      <c r="C15" s="67">
        <f>+IF(C14="No",Xbar_R!AB12/LOOKUP(B13,F3:F11,G3:G11),Xbar_R!D3/LOOKUP(B13,F3:F11,G3:G11))</f>
        <v>1.1244267698480941</v>
      </c>
      <c r="D15" s="68" t="s">
        <v>39</v>
      </c>
      <c r="E15" s="5"/>
      <c r="F15" s="121">
        <f>3*C15</f>
        <v>3.373280309544282</v>
      </c>
    </row>
    <row r="16" spans="1:17" x14ac:dyDescent="0.2">
      <c r="A16" s="62" t="s">
        <v>40</v>
      </c>
      <c r="B16" s="63" t="str">
        <f>+IF(OR(Xbar_R!AB24&gt;0, Xbar_R!AB33&gt;0), "No", "Yes")</f>
        <v>Yes</v>
      </c>
      <c r="C16" s="5" t="str">
        <f>+IF(B16="No", CONCATENATE("(", Xbar_R!AB24, " out-of-control flags on X-bar chart and ", Xbar_R!AB33, " on R chart)"), "")</f>
        <v/>
      </c>
      <c r="D16" s="5"/>
      <c r="E16" s="5"/>
      <c r="F16" s="5"/>
    </row>
    <row r="17" spans="1:9" x14ac:dyDescent="0.2">
      <c r="A17" s="62" t="s">
        <v>41</v>
      </c>
      <c r="B17" s="5"/>
      <c r="C17" s="5"/>
      <c r="D17" s="5"/>
      <c r="E17" s="5"/>
      <c r="F17" s="5"/>
    </row>
    <row r="18" spans="1:9" x14ac:dyDescent="0.2">
      <c r="A18" s="71" t="s">
        <v>42</v>
      </c>
      <c r="B18" s="64">
        <f>+IF(C14="No", (D4-Xbar_R!F2)/C15, (D4-Xbar_R!D2)/C15)</f>
        <v>1.3440181615421374</v>
      </c>
      <c r="C18" s="65" t="str">
        <f>CONCATENATE(", ",ROUND(100*(1-NORMSDIST(B18)),6))</f>
        <v>, 8.947126</v>
      </c>
      <c r="D18" s="5"/>
      <c r="E18" s="5"/>
      <c r="F18" s="5"/>
    </row>
    <row r="19" spans="1:9" x14ac:dyDescent="0.2">
      <c r="A19" s="71" t="s">
        <v>43</v>
      </c>
      <c r="B19" s="64">
        <f>+IF(C14="No", (D3-Xbar_R!F2)/C15, (D3-Xbar_R!D2)/C15)</f>
        <v>-2.2133500079655888</v>
      </c>
      <c r="C19" s="65" t="str">
        <f>CONCATENATE(", ",ROUND(100*(NORMSDIST(B19)),6))</f>
        <v>, 1.343676</v>
      </c>
      <c r="D19" s="5"/>
      <c r="E19" s="5"/>
      <c r="F19" s="5"/>
    </row>
    <row r="20" spans="1:9" ht="14.25" x14ac:dyDescent="0.25">
      <c r="A20" s="66" t="s">
        <v>44</v>
      </c>
      <c r="B20" s="61">
        <f>IF(AND(C14="No", B16="No"), NA(), (2*B4)/(6*C15))</f>
        <v>0.59289469491795443</v>
      </c>
      <c r="C20" s="5"/>
      <c r="D20" s="5"/>
      <c r="E20" s="5"/>
      <c r="F20" s="5"/>
    </row>
    <row r="21" spans="1:9" ht="14.25" x14ac:dyDescent="0.25">
      <c r="A21" s="70" t="s">
        <v>45</v>
      </c>
      <c r="B21" s="61">
        <f>IF(AND(B16="No", C14="No"), NA(), IF(C14="No", MIN((D4-Xbar_R!F2)/F15, (Xbar_R!F2-D3)/F15), MIN((D4-Xbar_R!D2)/F15, (Xbar_R!D2-D3)/F15)))</f>
        <v>0.44800605384737918</v>
      </c>
      <c r="C21" s="5"/>
      <c r="D21" s="5"/>
      <c r="E21" s="5"/>
      <c r="F21" s="5"/>
      <c r="G21" s="5"/>
      <c r="H21" s="5"/>
      <c r="I21" s="5"/>
    </row>
  </sheetData>
  <sheetProtection sheet="1" objects="1" scenarios="1"/>
  <phoneticPr fontId="3" type="noConversion"/>
  <printOptions gridLinesSet="0"/>
  <pageMargins left="0.75" right="0.75" top="1" bottom="1" header="0.5" footer="0.5"/>
  <pageSetup orientation="portrait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Xbar_R</vt:lpstr>
      <vt:lpstr>DecPlaces</vt:lpstr>
      <vt:lpstr>Capability</vt:lpstr>
      <vt:lpstr>Control Tests</vt:lpstr>
      <vt:lpstr>Histogram</vt:lpstr>
      <vt:lpstr>Formulas</vt:lpstr>
      <vt:lpstr>Xbar_R!Print_Area</vt:lpstr>
    </vt:vector>
  </TitlesOfParts>
  <Company>Oregon State University Extension Service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Variables Control Charts</dc:title>
  <dc:creator>Scott Leavengood</dc:creator>
  <cp:lastModifiedBy>Leavengood, Scott</cp:lastModifiedBy>
  <cp:lastPrinted>2011-10-18T17:12:09Z</cp:lastPrinted>
  <dcterms:created xsi:type="dcterms:W3CDTF">1997-10-22T17:16:11Z</dcterms:created>
  <dcterms:modified xsi:type="dcterms:W3CDTF">2014-11-24T21:28:28Z</dcterms:modified>
</cp:coreProperties>
</file>